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drawings/drawing3.xml" ContentType="application/vnd.openxmlformats-officedocument.drawing+xml"/>
  <Override PartName="/xl/ctrlProps/ctrlProp6.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tables/table13.xml" ContentType="application/vnd.openxmlformats-officedocument.spreadsheetml.table+xml"/>
  <Override PartName="/xl/drawings/drawing8.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9.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0.xml" ContentType="application/vnd.openxmlformats-officedocument.drawing+xml"/>
  <Override PartName="/xl/ctrlProps/ctrlProp20.xml" ContentType="application/vnd.ms-excel.controlproperties+xml"/>
  <Override PartName="/xl/ctrlProps/ctrlProp21.xml" ContentType="application/vnd.ms-excel.controlproperties+xml"/>
  <Override PartName="/xl/drawings/drawing11.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12.xml" ContentType="application/vnd.openxmlformats-officedocument.drawing+xml"/>
  <Override PartName="/xl/activeX/activeX1.xml" ContentType="application/vnd.ms-office.activeX+xml"/>
  <Override PartName="/xl/activeX/activeX1.bin" ContentType="application/vnd.ms-office.activeX"/>
  <Override PartName="/xl/tables/table14.xml" ContentType="application/vnd.openxmlformats-officedocument.spreadsheetml.table+xml"/>
  <Override PartName="/xl/drawings/drawing1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4.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15.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H:\20190614\migration\pensions stress test\"/>
    </mc:Choice>
  </mc:AlternateContent>
  <bookViews>
    <workbookView xWindow="120" yWindow="2550" windowWidth="9885" windowHeight="4095" firstSheet="4" activeTab="4"/>
  </bookViews>
  <sheets>
    <sheet name="Development" sheetId="56" state="hidden" r:id="rId1"/>
    <sheet name="Worksheets Overview" sheetId="45" state="hidden" r:id="rId2"/>
    <sheet name="Settings" sheetId="8" state="hidden" r:id="rId3"/>
    <sheet name="1. Make reports" sheetId="121" state="hidden" r:id="rId4"/>
    <sheet name="1. Instructions" sheetId="34" r:id="rId5"/>
    <sheet name="2. Participating IORP" sheetId="11" r:id="rId6"/>
    <sheet name="3.1. Product specifications" sheetId="48" r:id="rId7"/>
    <sheet name="3.2. Asset menu" sheetId="13" r:id="rId8"/>
    <sheet name="4.1. Member 35y YTR" sheetId="20" r:id="rId9"/>
    <sheet name="4.2. Member 20y YTR" sheetId="60" r:id="rId10"/>
    <sheet name="4.3. Member 5y YTR" sheetId="61" r:id="rId11"/>
    <sheet name="5. Questionnaire" sheetId="126" r:id="rId12"/>
    <sheet name="6. Complete exercise" sheetId="124" r:id="rId13"/>
    <sheet name="6.1 Simulation outcome tables" sheetId="90" state="hidden" r:id="rId14"/>
    <sheet name="7.1 Report Member 35y YTR" sheetId="47" state="hidden" r:id="rId15"/>
    <sheet name="7.2 Report Member 20y YTR" sheetId="149" state="hidden" r:id="rId16"/>
    <sheet name="7.3 Report Member 5y YTR" sheetId="151" state="hidden" r:id="rId17"/>
    <sheet name="Career" sheetId="31" state="hidden" r:id="rId18"/>
  </sheets>
  <definedNames>
    <definedName name="_xlnm._FilterDatabase" localSheetId="7" hidden="1">'3.2. Asset menu'!$L$2:$L$3</definedName>
    <definedName name="_xlnm._FilterDatabase" localSheetId="1" hidden="1">'Worksheets Overview'!$BG$6:$BG$18</definedName>
    <definedName name="ActiveContributionScaleFactor">Settings!$G$12</definedName>
    <definedName name="ActiveIncludeCosts">Settings!$G$10</definedName>
    <definedName name="ActiveLifeExpScenario">Settings!$G$9</definedName>
    <definedName name="ActiveLifeExpScenarioNo">Settings!$B$16</definedName>
    <definedName name="ActiveMarketScenarioName">Settings!$G$7</definedName>
    <definedName name="ActiveMarketScenarioNo">Settings!$B$15</definedName>
    <definedName name="ActiveMarketScenarioSheet">Settings!$G$15</definedName>
    <definedName name="ActiveMemberNo">Settings!$D$8</definedName>
    <definedName name="ActiveMemberSheet">Settings!$G$8</definedName>
    <definedName name="ActivePensionAgeAdjustment">Settings!$G$13</definedName>
    <definedName name="ActiveSimulation">Settings!$G$5</definedName>
    <definedName name="ActiveSimulationIndex">MATCH(ActiveSimulation,ListSimulationNames,0)</definedName>
    <definedName name="ActiveYearsToRetirement">#REF!</definedName>
    <definedName name="AdminCostFixed">'3.1. Product specifications'!$I$12</definedName>
    <definedName name="AdminCostOfContribution">'3.1. Product specifications'!$I$14</definedName>
    <definedName name="AdminCostOfFinalWealth">'3.1. Product specifications'!$I$15</definedName>
    <definedName name="AdminCostOfWealth">'3.1. Product specifications'!$I$13</definedName>
    <definedName name="Age" localSheetId="8">'4.1. Member 35y YTR'!$J$14</definedName>
    <definedName name="Age" localSheetId="9">'4.2. Member 20y YTR'!$J$14</definedName>
    <definedName name="Age" localSheetId="10">'4.3. Member 5y YTR'!$J$14</definedName>
    <definedName name="Age">CHOOSE(ActiveMemberNo, '4.1. Member 35y YTR'!Age, '4.2. Member 20y YTR'!Age, '4.3. Member 5y YTR'!Age)</definedName>
    <definedName name="Alternatives" localSheetId="14">'7.1 Report Member 35y YTR'!$I$96:$I$131</definedName>
    <definedName name="Alternatives" localSheetId="15">'7.2 Report Member 20y YTR'!$I$96:$I$116</definedName>
    <definedName name="Alternatives" localSheetId="16">'7.3 Report Member 5y YTR'!$I$96:$I$101</definedName>
    <definedName name="AreaInputFields" localSheetId="7">'3.2. Asset menu'!$H$18:$H$26</definedName>
    <definedName name="AssetSpecs" localSheetId="7">'3.2. Asset menu'!$AA$31:$AU$31</definedName>
    <definedName name="AssetTypes" localSheetId="7">tblAssetTypeDefinitions[Asset class]</definedName>
    <definedName name="AssetWeights">IF(ActiveMarketScenarioName="Adverse",AssetWeightsAdverse,AssetWeightsBaseline)</definedName>
    <definedName name="AssetWeightsAdverse" localSheetId="8">'4.1. Member 35y YTR'!$AL$47:$BE$147</definedName>
    <definedName name="AssetWeightsAdverse" localSheetId="9">'4.2. Member 20y YTR'!$AL$47:$BE$147</definedName>
    <definedName name="AssetWeightsAdverse" localSheetId="10">'4.3. Member 5y YTR'!$AL$47:$BE$147</definedName>
    <definedName name="AssetWeightsAdverse">CHOOSE(ActiveMemberNo, '4.1. Member 35y YTR'!AssetWeightsAdverse, '4.2. Member 20y YTR'!AssetWeightsAdverse, '4.3. Member 5y YTR'!AssetWeightsAdverse)</definedName>
    <definedName name="AssetWeightsBaseline" localSheetId="8">'4.1. Member 35y YTR'!$Q$47:$AJ$147</definedName>
    <definedName name="AssetWeightsBaseline" localSheetId="9">'4.2. Member 20y YTR'!$Q$47:$AJ$147</definedName>
    <definedName name="AssetWeightsBaseline" localSheetId="10">'4.3. Member 5y YTR'!$Q$47:$AJ$147</definedName>
    <definedName name="AssetWeightsBaseline">CHOOSE(ActiveMemberNo, '4.1. Member 35y YTR'!AssetWeightsBaseline, '4.2. Member 20y YTR'!AssetWeightsBaseline, '4.3. Member 5y YTR'!AssetWeightsBaseline)</definedName>
    <definedName name="AverageWages">Career!$T$7:$AG$57</definedName>
    <definedName name="Cap_inflation">IF(Inflation_Index_Cap="Price",Price_inflation,Wage_inflation)</definedName>
    <definedName name="CareerAge">Career!$D$7:$D$57</definedName>
    <definedName name="CareerCountries">Career!$E$6:$R$6</definedName>
    <definedName name="CareerWageGrowth" localSheetId="8">'4.1. Member 35y YTR'!$M$47:$M$147</definedName>
    <definedName name="CareerWageGrowth" localSheetId="9">'4.2. Member 20y YTR'!$M$47:$M$147</definedName>
    <definedName name="CareerWageGrowth" localSheetId="10">'4.3. Member 5y YTR'!$M$47:$M$147</definedName>
    <definedName name="CareerWageGrowth">CHOOSE(ActiveMemberNo, '4.1. Member 35y YTR'!CareerWageGrowth, '4.2. Member 20y YTR'!CareerWageGrowth, '4.3. Member 5y YTR'!CareerWageGrowth)</definedName>
    <definedName name="CareerWageGrowthData">Career!$E$7:$R$57</definedName>
    <definedName name="Cash_and_Deposits" localSheetId="14">'7.1 Report Member 35y YTR'!$AE$96:$AE$131</definedName>
    <definedName name="Cash_and_Deposits" localSheetId="15">'7.2 Report Member 20y YTR'!$AE$96:$AE$116</definedName>
    <definedName name="Cash_and_Deposits" localSheetId="16">'7.3 Report Member 5y YTR'!$AA$96:$AA$101</definedName>
    <definedName name="Commodities" localSheetId="14">'7.1 Report Member 35y YTR'!$Q$96:$Q$131</definedName>
    <definedName name="Commodities" localSheetId="15">'7.2 Report Member 20y YTR'!$Q$96:$Q$116</definedName>
    <definedName name="Commodities" localSheetId="16">'7.3 Report Member 5y YTR'!$Q$96:$Q$101</definedName>
    <definedName name="Contribution_rate" localSheetId="8">'4.1. Member 35y YTR'!$J$47:$J$147</definedName>
    <definedName name="Contribution_rate" localSheetId="9">'4.2. Member 20y YTR'!$J$47:$J$147</definedName>
    <definedName name="Contribution_rate" localSheetId="10">'4.3. Member 5y YTR'!$J$47:$J$147</definedName>
    <definedName name="Contribution_rate">CHOOSE(ActiveMemberNo, '4.1. Member 35y YTR'!Contribution_rate, '4.2. Member 20y YTR'!Contribution_rate, '4.3. Member 5y YTR'!Contribution_rate)</definedName>
    <definedName name="Corporate_Bond_Fund" localSheetId="14">'7.1 Report Member 35y YTR'!$AB$96:$AB$131</definedName>
    <definedName name="Corporate_Bond_Fund" localSheetId="15">'7.2 Report Member 20y YTR'!$AB$96:$AB$116</definedName>
    <definedName name="Corporate_Bond_Fund" localSheetId="16">'7.3 Report Member 5y YTR'!$Z$96:$Z$101</definedName>
    <definedName name="Countries">tblCountry[Country]</definedName>
    <definedName name="Country">'2. Participating IORP'!$E$13</definedName>
    <definedName name="CountryAbbrev">'2. Participating IORP'!$E$14</definedName>
    <definedName name="_xlnm.Criteria" localSheetId="7">'3.2. Asset menu'!$L$2:$L$3</definedName>
    <definedName name="Currency">'2. Participating IORP'!$E$15</definedName>
    <definedName name="CurrencyNo">MATCH(Currency,ListCurrencies,0)</definedName>
    <definedName name="CurrentAssetClass" localSheetId="7">'3.2. Asset menu'!$B$25</definedName>
    <definedName name="CurrentAssetName" localSheetId="7">'3.2. Asset menu'!$H$20</definedName>
    <definedName name="CurrentAssetNo" localSheetId="7">'3.2. Asset menu'!$H$9</definedName>
    <definedName name="CurrentBeta_Bond" localSheetId="7">'3.2. Asset menu'!$B$38</definedName>
    <definedName name="CurrentBeta_Commodities" localSheetId="7">'3.2. Asset menu'!$B$33</definedName>
    <definedName name="CurrentBeta_Equity_Emerging_Market" localSheetId="7">'3.2. Asset menu'!$B$32</definedName>
    <definedName name="CurrentBeta_Equity_Europe" localSheetId="7">'3.2. Asset menu'!$B$30</definedName>
    <definedName name="CurrentBeta_Equity_US" localSheetId="7">'3.2. Asset menu'!$B$31</definedName>
    <definedName name="CurrentBeta_Hedge_Funds" localSheetId="7">'3.2. Asset menu'!$B$35</definedName>
    <definedName name="CurrentBeta_Private_Equity" localSheetId="7">'3.2. Asset menu'!$B$34</definedName>
    <definedName name="CurrentBeta_Real_Estate_Europe" localSheetId="7">'3.2. Asset menu'!$B$36</definedName>
    <definedName name="CurrentBeta_Real_Estate_Global" localSheetId="7">'3.2. Asset menu'!$B$37</definedName>
    <definedName name="CurrentCurrency" localSheetId="7">'3.2. Asset menu'!$D$21</definedName>
    <definedName name="CurrentDescription" localSheetId="7">'3.2. Asset menu'!$H$21</definedName>
    <definedName name="CurrentDuration" localSheetId="7">'3.2. Asset menu'!$D$22</definedName>
    <definedName name="CurrentInflationLinked" localSheetId="7">'3.2. Asset menu'!$D$24</definedName>
    <definedName name="CurrentInvestmentCosts" localSheetId="7">'3.2. Asset menu'!$H$22</definedName>
    <definedName name="CurrentSpread" localSheetId="7">'3.2. Asset menu'!$D$23</definedName>
    <definedName name="CurrentType" localSheetId="7">'3.2. Asset menu'!$H$18</definedName>
    <definedName name="CurrentYearsToRetirement" localSheetId="8">'4.1. Member 35y YTR'!$J$12</definedName>
    <definedName name="CurrentYearsToRetirement" localSheetId="9">'4.2. Member 20y YTR'!$J$12</definedName>
    <definedName name="CurrentYearsToRetirement" localSheetId="10">'4.3. Member 5y YTR'!$J$12</definedName>
    <definedName name="CurrentYearsToRetirement">CHOOSE(ActiveMemberNo, '4.1. Member 35y YTR'!CurrentYearsToRetirement, '4.2. Member 20y YTR'!CurrentYearsToRetirement, '4.3. Member 5y YTR'!CurrentYearsToRetirement)</definedName>
    <definedName name="DCStressWorkbookType">Settings!$G$18</definedName>
    <definedName name="DCStressWorkbookVersion">Settings!$G$19</definedName>
    <definedName name="DCStressWorksheetType" localSheetId="4">'1. Instructions'!$B$1</definedName>
    <definedName name="DCStressWorksheetType" localSheetId="3">'1. Make reports'!$B$1</definedName>
    <definedName name="DCStressWorksheetType" localSheetId="5">'2. Participating IORP'!$B$1</definedName>
    <definedName name="DCStressWorksheetType" localSheetId="6">'3.1. Product specifications'!$B$1</definedName>
    <definedName name="DCStressWorksheetType" localSheetId="7">'3.2. Asset menu'!$B$1</definedName>
    <definedName name="DCStressWorksheetType" localSheetId="8">'4.1. Member 35y YTR'!$B$1</definedName>
    <definedName name="DCStressWorksheetType" localSheetId="9">'4.2. Member 20y YTR'!$B$1</definedName>
    <definedName name="DCStressWorksheetType" localSheetId="10">'4.3. Member 5y YTR'!$B$1</definedName>
    <definedName name="DCStressWorksheetType" localSheetId="11">'5. Questionnaire'!$B$1</definedName>
    <definedName name="DCStressWorksheetType" localSheetId="12">'6. Complete exercise'!$B$1</definedName>
    <definedName name="DCStressWorksheetType" localSheetId="13">'6.1 Simulation outcome tables'!$B$1</definedName>
    <definedName name="DCStressWorksheetType" localSheetId="14">'7.1 Report Member 35y YTR'!$B$1</definedName>
    <definedName name="DCStressWorksheetType" localSheetId="15">'7.2 Report Member 20y YTR'!$B$1</definedName>
    <definedName name="DCStressWorksheetType" localSheetId="16">'7.3 Report Member 5y YTR'!$B$1</definedName>
    <definedName name="DCStressWorksheetType" localSheetId="17">Career!$B$1</definedName>
    <definedName name="DCStressWorksheetType" localSheetId="0">Development!$B$1</definedName>
    <definedName name="DCStressWorksheetType" localSheetId="2">Settings!$B$1</definedName>
    <definedName name="DCStressWorksheetType" localSheetId="1">'Worksheets Overview'!$B$1</definedName>
    <definedName name="DCStressWorksheetVersion" localSheetId="4">'1. Instructions'!$B$2</definedName>
    <definedName name="DCStressWorksheetVersion" localSheetId="3">'1. Make reports'!$B$2</definedName>
    <definedName name="DCStressWorksheetVersion" localSheetId="5">'2. Participating IORP'!$B$2</definedName>
    <definedName name="DCStressWorksheetVersion" localSheetId="6">'3.1. Product specifications'!$B$2</definedName>
    <definedName name="DCStressWorksheetVersion" localSheetId="7">'3.2. Asset menu'!$B$2</definedName>
    <definedName name="DCStressWorksheetVersion" localSheetId="8">'4.1. Member 35y YTR'!$B$2</definedName>
    <definedName name="DCStressWorksheetVersion" localSheetId="9">'4.2. Member 20y YTR'!$B$2</definedName>
    <definedName name="DCStressWorksheetVersion" localSheetId="10">'4.3. Member 5y YTR'!$B$2</definedName>
    <definedName name="DCStressWorksheetVersion" localSheetId="11">'5. Questionnaire'!$B$2</definedName>
    <definedName name="DCStressWorksheetVersion" localSheetId="12">'6. Complete exercise'!$B$2</definedName>
    <definedName name="DCStressWorksheetVersion" localSheetId="13">'6.1 Simulation outcome tables'!$B$2</definedName>
    <definedName name="DCStressWorksheetVersion" localSheetId="14">'7.1 Report Member 35y YTR'!$B$2</definedName>
    <definedName name="DCStressWorksheetVersion" localSheetId="15">'7.2 Report Member 20y YTR'!$B$2</definedName>
    <definedName name="DCStressWorksheetVersion" localSheetId="16">'7.3 Report Member 5y YTR'!$B$2</definedName>
    <definedName name="DCStressWorksheetVersion" localSheetId="17">Career!$B$2</definedName>
    <definedName name="DCStressWorksheetVersion" localSheetId="0">Development!$B$2</definedName>
    <definedName name="DCStressWorksheetVersion" localSheetId="2">Settings!$B$2</definedName>
    <definedName name="DCStressWorksheetVersion" localSheetId="1">'Worksheets Overview'!$B$2</definedName>
    <definedName name="DrawDownInc_Baseline" localSheetId="14">'7.1 Report Member 35y YTR'!$K$43</definedName>
    <definedName name="DrawDownInc_Baseline" localSheetId="15">'7.2 Report Member 20y YTR'!$K$43</definedName>
    <definedName name="DrawDownInc_Baseline" localSheetId="16">'7.3 Report Member 5y YTR'!$K$43</definedName>
    <definedName name="DrawDownInc_Baseline_NC" localSheetId="14">'7.1 Report Member 35y YTR'!$N$43</definedName>
    <definedName name="DrawDownInc_Baseline_NC" localSheetId="15">'7.2 Report Member 20y YTR'!$N$43</definedName>
    <definedName name="DrawDownInc_Baseline_NC" localSheetId="16">'7.3 Report Member 5y YTR'!$N$43</definedName>
    <definedName name="DrawDownInc_Baseline_NC_Dif" localSheetId="14">'7.1 Report Member 35y YTR'!$N$44</definedName>
    <definedName name="DrawDownInc_Baseline_NC_Dif" localSheetId="15">'7.2 Report Member 20y YTR'!$N$44</definedName>
    <definedName name="DrawDownInc_Baseline_NC_Dif" localSheetId="16">'7.3 Report Member 5y YTR'!$N$44</definedName>
    <definedName name="DrawDownInc_Baseline_NC_DifContr" localSheetId="14">'7.1 Report Member 35y YTR'!$N$46</definedName>
    <definedName name="DrawDownInc_Baseline_NC_DifContr" localSheetId="15">'7.2 Report Member 20y YTR'!$N$46</definedName>
    <definedName name="DrawDownInc_Baseline_NC_DifContr" localSheetId="16">'7.3 Report Member 5y YTR'!$N$46</definedName>
    <definedName name="DrawDownInc_Baseline_NC_DifPA" localSheetId="14">'7.1 Report Member 35y YTR'!$N$47</definedName>
    <definedName name="DrawDownInc_Baseline_NC_DifPA" localSheetId="15">'7.2 Report Member 20y YTR'!$N$47</definedName>
    <definedName name="DrawDownInc_Baseline_NC_DifPA" localSheetId="16">'7.3 Report Member 5y YTR'!$N$47</definedName>
    <definedName name="DrawDownInc_Shock1" localSheetId="14">'7.1 Report Member 35y YTR'!$L$43</definedName>
    <definedName name="DrawDownInc_Shock1" localSheetId="15">'7.2 Report Member 20y YTR'!$L$43</definedName>
    <definedName name="DrawDownInc_Shock1" localSheetId="16">'7.3 Report Member 5y YTR'!$L$43</definedName>
    <definedName name="DrawDownInc_Shock1_Dif" localSheetId="14">'7.1 Report Member 35y YTR'!$L$44</definedName>
    <definedName name="DrawDownInc_Shock1_Dif" localSheetId="15">'7.2 Report Member 20y YTR'!$L$44</definedName>
    <definedName name="DrawDownInc_Shock1_Dif" localSheetId="16">'7.3 Report Member 5y YTR'!$L$44</definedName>
    <definedName name="DrawDownInc_Shock1_DifContr" localSheetId="14">'7.1 Report Member 35y YTR'!$L$46</definedName>
    <definedName name="DrawDownInc_Shock1_DifContr" localSheetId="15">'7.2 Report Member 20y YTR'!$L$46</definedName>
    <definedName name="DrawDownInc_Shock1_DifContr" localSheetId="16">'7.3 Report Member 5y YTR'!$L$46</definedName>
    <definedName name="DrawDownInc_Shock1_DifPA" localSheetId="14">'7.1 Report Member 35y YTR'!$L$47</definedName>
    <definedName name="DrawDownInc_Shock1_DifPA" localSheetId="15">'7.2 Report Member 20y YTR'!$L$47</definedName>
    <definedName name="DrawDownInc_Shock1_DifPA" localSheetId="16">'7.3 Report Member 5y YTR'!$L$47</definedName>
    <definedName name="DrawDownRepRate_Baseline" localSheetId="14">'7.1 Report Member 35y YTR'!$K$67</definedName>
    <definedName name="DrawDownRepRate_Baseline" localSheetId="15">'7.2 Report Member 20y YTR'!$K$67</definedName>
    <definedName name="DrawDownRepRate_Baseline" localSheetId="16">'7.3 Report Member 5y YTR'!$K$67</definedName>
    <definedName name="DrawDownRepRate_Baseline_NC" localSheetId="14">'7.1 Report Member 35y YTR'!$N$67</definedName>
    <definedName name="DrawDownRepRate_Baseline_NC" localSheetId="15">'7.2 Report Member 20y YTR'!$N$67</definedName>
    <definedName name="DrawDownRepRate_Baseline_NC" localSheetId="16">'7.3 Report Member 5y YTR'!$N$67</definedName>
    <definedName name="DrawDownRepRate_Baseline_NC_Dif" localSheetId="14">'7.1 Report Member 35y YTR'!$N$68</definedName>
    <definedName name="DrawDownRepRate_Baseline_NC_Dif" localSheetId="15">'7.2 Report Member 20y YTR'!$N$68</definedName>
    <definedName name="DrawDownRepRate_Baseline_NC_Dif" localSheetId="16">'7.3 Report Member 5y YTR'!$N$68</definedName>
    <definedName name="DrawDownRepRate_Baseline_NC_DifContr" localSheetId="14">'7.1 Report Member 35y YTR'!$N$70</definedName>
    <definedName name="DrawDownRepRate_Baseline_NC_DifContr" localSheetId="15">'7.2 Report Member 20y YTR'!$N$70</definedName>
    <definedName name="DrawDownRepRate_Baseline_NC_DifContr" localSheetId="16">'7.3 Report Member 5y YTR'!$N$70</definedName>
    <definedName name="DrawDownRepRate_Baseline_NC_DifPA" localSheetId="14">'7.1 Report Member 35y YTR'!$N$71</definedName>
    <definedName name="DrawDownRepRate_Baseline_NC_DifPA" localSheetId="15">'7.2 Report Member 20y YTR'!$N$71</definedName>
    <definedName name="DrawDownRepRate_Baseline_NC_DifPA" localSheetId="16">'7.3 Report Member 5y YTR'!$N$71</definedName>
    <definedName name="DrawDownRepRate_Shock1" localSheetId="14">'7.1 Report Member 35y YTR'!$L$67</definedName>
    <definedName name="DrawDownRepRate_Shock1" localSheetId="15">'7.2 Report Member 20y YTR'!$L$67</definedName>
    <definedName name="DrawDownRepRate_Shock1" localSheetId="16">'7.3 Report Member 5y YTR'!$L$67</definedName>
    <definedName name="DrawDownRepRate_Shock1_Dif" localSheetId="14">'7.1 Report Member 35y YTR'!$L$68</definedName>
    <definedName name="DrawDownRepRate_Shock1_Dif" localSheetId="15">'7.2 Report Member 20y YTR'!$L$68</definedName>
    <definedName name="DrawDownRepRate_Shock1_Dif" localSheetId="16">'7.3 Report Member 5y YTR'!$L$68</definedName>
    <definedName name="DrawDownRepRate_Shock1_DifContr" localSheetId="14">'7.1 Report Member 35y YTR'!$L$70</definedName>
    <definedName name="DrawDownRepRate_Shock1_DifContr" localSheetId="15">'7.2 Report Member 20y YTR'!$L$70</definedName>
    <definedName name="DrawDownRepRate_Shock1_DifContr" localSheetId="16">'7.3 Report Member 5y YTR'!$L$70</definedName>
    <definedName name="DrawDownRepRate_Shock1_DifPA" localSheetId="14">'7.1 Report Member 35y YTR'!$L$71</definedName>
    <definedName name="DrawDownRepRate_Shock1_DifPA" localSheetId="15">'7.2 Report Member 20y YTR'!$L$71</definedName>
    <definedName name="DrawDownRepRate_Shock1_DifPA" localSheetId="16">'7.3 Report Member 5y YTR'!$L$71</definedName>
    <definedName name="DurationField" localSheetId="7">'3.2. Asset menu'!$H$24</definedName>
    <definedName name="Equities" localSheetId="14">'7.1 Report Member 35y YTR'!$G$96:$G$131</definedName>
    <definedName name="Equities" localSheetId="15">'7.2 Report Member 20y YTR'!$G$96:$G$116</definedName>
    <definedName name="Equities" localSheetId="16">'7.3 Report Member 5y YTR'!$G$96:$G$101</definedName>
    <definedName name="Equities_Developed_Markets" localSheetId="14">'7.1 Report Member 35y YTR'!$O$96:$O$131</definedName>
    <definedName name="Equities_Developed_Markets" localSheetId="15">'7.2 Report Member 20y YTR'!$O$96:$O$116</definedName>
    <definedName name="Equities_Developed_Markets" localSheetId="16">'7.3 Report Member 5y YTR'!$O$96:$O$101</definedName>
    <definedName name="Equities_Emerging_Markets" localSheetId="14">'7.1 Report Member 35y YTR'!$P$96:$P$131</definedName>
    <definedName name="Equities_Emerging_Markets" localSheetId="15">'7.2 Report Member 20y YTR'!$P$96:$P$116</definedName>
    <definedName name="Equities_Emerging_Markets" localSheetId="16">'7.3 Report Member 5y YTR'!$P$96:$P$101</definedName>
    <definedName name="Equities_Europe" localSheetId="14">'7.1 Report Member 35y YTR'!$L$96:$L$131</definedName>
    <definedName name="Equities_Europe" localSheetId="15">'7.2 Report Member 20y YTR'!$L$96:$L$116</definedName>
    <definedName name="Equities_Europe" localSheetId="16">'7.3 Report Member 5y YTR'!$L$96:$L$101</definedName>
    <definedName name="Equities_Other_Developed_Markets__non_EU_US" localSheetId="14">'7.1 Report Member 35y YTR'!$N$96:$N$131</definedName>
    <definedName name="Equities_Other_Developed_Markets__non_EU_US" localSheetId="15">'7.2 Report Member 20y YTR'!$N$96:$N$116</definedName>
    <definedName name="Equities_Other_Developed_Markets__non_EU_US" localSheetId="16">'7.3 Report Member 5y YTR'!$N$96:$N$101</definedName>
    <definedName name="Equities_US" localSheetId="14">'7.1 Report Member 35y YTR'!$M$96:$M$131</definedName>
    <definedName name="Equities_US" localSheetId="15">'7.2 Report Member 20y YTR'!$M$96:$M$116</definedName>
    <definedName name="Equities_US" localSheetId="16">'7.3 Report Member 5y YTR'!$M$96:$M$101</definedName>
    <definedName name="Equity_exposure_programmed_withdrawal">Settings!$G$21</definedName>
    <definedName name="Equity_return" comment="One of the scenario variables" xml:space="preserve"> CHOOSE(ActiveMarketScenarioNo,#REF!)</definedName>
    <definedName name="EquityPremiumAssumption">CHOOSE(ActiveMarketScenarioNo, [0]!EquityPremiumAssumption, [0]!EquityPremiumAssumption)</definedName>
    <definedName name="_xlnm.Extract" localSheetId="1">'Worksheets Overview'!$BQ$6:$BQ$6</definedName>
    <definedName name="FilenamePrefix">'2. Participating IORP'!$E$19</definedName>
    <definedName name="fileversion">'1. Instructions'!$G$7</definedName>
    <definedName name="FinalSalary_Baseline" localSheetId="14">'7.1 Report Member 35y YTR'!$K$13</definedName>
    <definedName name="FinalSalary_Baseline" localSheetId="15">'7.2 Report Member 20y YTR'!$K$13</definedName>
    <definedName name="FinalSalary_Baseline" localSheetId="16">'7.3 Report Member 5y YTR'!$K$13</definedName>
    <definedName name="FinalSalary_Shock1" localSheetId="14">'7.1 Report Member 35y YTR'!$L$13</definedName>
    <definedName name="FinalSalary_Shock1" localSheetId="15">'7.2 Report Member 20y YTR'!$L$13</definedName>
    <definedName name="FinalSalary_Shock1" localSheetId="16">'7.3 Report Member 5y YTR'!$L$13</definedName>
    <definedName name="FinalSalary_Shock1_Dif" localSheetId="14">'7.1 Report Member 35y YTR'!$L$14</definedName>
    <definedName name="FinalSalary_Shock1_Dif" localSheetId="15">'7.2 Report Member 20y YTR'!$L$14</definedName>
    <definedName name="FinalSalary_Shock1_Dif" localSheetId="16">'7.3 Report Member 5y YTR'!$L$14</definedName>
    <definedName name="Fixed_income" localSheetId="14">'7.1 Report Member 35y YTR'!$J$96:$J$131</definedName>
    <definedName name="Fixed_income" localSheetId="15">'7.2 Report Member 20y YTR'!$J$96:$J$116</definedName>
    <definedName name="Fixed_income" localSheetId="16">'7.3 Report Member 5y YTR'!$J$96:$J$101</definedName>
    <definedName name="Floor_inflation">IF(Inflation_Index_Floor="Price",Price_inflation,Wage_inflation)</definedName>
    <definedName name="FundamentalSpreads">CHOOSE(ActiveMarketScenarioNo, [0]!FundamentalSpreads, [0]!FundamentalSpreads)</definedName>
    <definedName name="FXNames">CHOOSE(ActiveMarketScenarioNo, [0]!FXNames, [0]!FXNames)</definedName>
    <definedName name="FXRates">CHOOSE(ActiveMarketScenarioNo, [0]!FXRates, [0]!FXRates)</definedName>
    <definedName name="Government_Bond_Fund" localSheetId="14">'7.1 Report Member 35y YTR'!$AA$96:$AA$131</definedName>
    <definedName name="Government_Bond_Fund" localSheetId="15">'7.2 Report Member 20y YTR'!$AA$96:$AA$116</definedName>
    <definedName name="Government_Bond_Fund" localSheetId="16">'7.3 Report Member 5y YTR'!$Y$96:$Y$101</definedName>
    <definedName name="Government_Bond_Fund_EU" localSheetId="14">'7.1 Report Member 35y YTR'!$Y$96:$Y$131</definedName>
    <definedName name="Government_Bond_Fund_EU" localSheetId="15">'7.2 Report Member 20y YTR'!$Y$96:$Y$116</definedName>
    <definedName name="Government_Bond_Fund_EU" localSheetId="16">'7.3 Report Member 5y YTR'!$W$96:$W$101</definedName>
    <definedName name="Government_Bond_Fund_Non_EU" localSheetId="14">'7.1 Report Member 35y YTR'!$Z$96:$Z$131</definedName>
    <definedName name="Government_Bond_Fund_Non_EU" localSheetId="15">'7.2 Report Member 20y YTR'!$Z$96:$Z$116</definedName>
    <definedName name="Government_Bond_Fund_Non_EU" localSheetId="16">'7.3 Report Member 5y YTR'!$X$96:$X$101</definedName>
    <definedName name="Hedge_Funds" localSheetId="14">'7.1 Report Member 35y YTR'!$S$96:$S$131</definedName>
    <definedName name="Hedge_Funds" localSheetId="15">'7.2 Report Member 20y YTR'!$S$96:$S$116</definedName>
    <definedName name="Hedge_Funds" localSheetId="16">'7.3 Report Member 5y YTR'!$S$96:$S$101</definedName>
    <definedName name="ILAnnuityInc_Baseline" localSheetId="14">'7.1 Report Member 35y YTR'!$K$36</definedName>
    <definedName name="ILAnnuityInc_Baseline" localSheetId="15">'7.2 Report Member 20y YTR'!$K$36</definedName>
    <definedName name="ILAnnuityInc_Baseline" localSheetId="16">'7.3 Report Member 5y YTR'!$K$36</definedName>
    <definedName name="ILAnnuityInc_Baseline_NC" localSheetId="14">'7.1 Report Member 35y YTR'!$N$36</definedName>
    <definedName name="ILAnnuityInc_Baseline_NC" localSheetId="15">'7.2 Report Member 20y YTR'!$N$36</definedName>
    <definedName name="ILAnnuityInc_Baseline_NC" localSheetId="16">'7.3 Report Member 5y YTR'!$N$36</definedName>
    <definedName name="ILAnnuityInc_Baseline_NC_Dif" localSheetId="14">'7.1 Report Member 35y YTR'!$N$37</definedName>
    <definedName name="ILAnnuityInc_Baseline_NC_Dif" localSheetId="15">'7.2 Report Member 20y YTR'!$N$37</definedName>
    <definedName name="ILAnnuityInc_Baseline_NC_Dif" localSheetId="16">'7.3 Report Member 5y YTR'!$N$37</definedName>
    <definedName name="ILAnnuityInc_Baseline_NC_DifContr" localSheetId="14">'7.1 Report Member 35y YTR'!$N$39</definedName>
    <definedName name="ILAnnuityInc_Baseline_NC_DifContr" localSheetId="15">'7.2 Report Member 20y YTR'!$N$39</definedName>
    <definedName name="ILAnnuityInc_Baseline_NC_DifContr" localSheetId="16">'7.3 Report Member 5y YTR'!$N$39</definedName>
    <definedName name="ILAnnuityInc_Baseline_NC_DifPA" localSheetId="14">'7.1 Report Member 35y YTR'!$N$40</definedName>
    <definedName name="ILAnnuityInc_Baseline_NC_DifPA" localSheetId="15">'7.2 Report Member 20y YTR'!$N$40</definedName>
    <definedName name="ILAnnuityInc_Baseline_NC_DifPA" localSheetId="16">'7.3 Report Member 5y YTR'!$N$40</definedName>
    <definedName name="ILAnnuityInc_Shock1" localSheetId="14">'7.1 Report Member 35y YTR'!$L$36</definedName>
    <definedName name="ILAnnuityInc_Shock1" localSheetId="15">'7.2 Report Member 20y YTR'!$L$36</definedName>
    <definedName name="ILAnnuityInc_Shock1" localSheetId="16">'7.3 Report Member 5y YTR'!$L$36</definedName>
    <definedName name="ILAnnuityInc_Shock1_Dif" localSheetId="14">'7.1 Report Member 35y YTR'!$L$37</definedName>
    <definedName name="ILAnnuityInc_Shock1_Dif" localSheetId="15">'7.2 Report Member 20y YTR'!$L$37</definedName>
    <definedName name="ILAnnuityInc_Shock1_Dif" localSheetId="16">'7.3 Report Member 5y YTR'!$L$37</definedName>
    <definedName name="ILAnnuityInc_Shock1_DifContr" localSheetId="14">'7.1 Report Member 35y YTR'!$L$39</definedName>
    <definedName name="ILAnnuityInc_Shock1_DifContr" localSheetId="15">'7.2 Report Member 20y YTR'!$L$39</definedName>
    <definedName name="ILAnnuityInc_Shock1_DifContr" localSheetId="16">'7.3 Report Member 5y YTR'!$L$39</definedName>
    <definedName name="ILAnnuityInc_Shock1_DifPA" localSheetId="14">'7.1 Report Member 35y YTR'!$L$40</definedName>
    <definedName name="ILAnnuityInc_Shock1_DifPA" localSheetId="15">'7.2 Report Member 20y YTR'!$L$40</definedName>
    <definedName name="ILAnnuityInc_Shock1_DifPA" localSheetId="16">'7.3 Report Member 5y YTR'!$L$40</definedName>
    <definedName name="ILAnnuityRepRate_Baseline" localSheetId="14">'7.1 Report Member 35y YTR'!$K$60</definedName>
    <definedName name="ILAnnuityRepRate_Baseline" localSheetId="15">'7.2 Report Member 20y YTR'!$K$60</definedName>
    <definedName name="ILAnnuityRepRate_Baseline" localSheetId="16">'7.3 Report Member 5y YTR'!$K$60</definedName>
    <definedName name="ILAnnuityRepRate_Baseline_NC" localSheetId="14">'7.1 Report Member 35y YTR'!$N$60</definedName>
    <definedName name="ILAnnuityRepRate_Baseline_NC" localSheetId="15">'7.2 Report Member 20y YTR'!$N$60</definedName>
    <definedName name="ILAnnuityRepRate_Baseline_NC" localSheetId="16">'7.3 Report Member 5y YTR'!$N$60</definedName>
    <definedName name="ILAnnuityRepRate_Baseline_NC_Dif" localSheetId="14">'7.1 Report Member 35y YTR'!$N$61</definedName>
    <definedName name="ILAnnuityRepRate_Baseline_NC_Dif" localSheetId="15">'7.2 Report Member 20y YTR'!$N$61</definedName>
    <definedName name="ILAnnuityRepRate_Baseline_NC_Dif" localSheetId="16">'7.3 Report Member 5y YTR'!$N$61</definedName>
    <definedName name="ILAnnuityRepRate_Baseline_NC_DifContr" localSheetId="14">'7.1 Report Member 35y YTR'!$N$63</definedName>
    <definedName name="ILAnnuityRepRate_Baseline_NC_DifContr" localSheetId="15">'7.2 Report Member 20y YTR'!$N$63</definedName>
    <definedName name="ILAnnuityRepRate_Baseline_NC_DifContr" localSheetId="16">'7.3 Report Member 5y YTR'!$N$63</definedName>
    <definedName name="ILAnnuityRepRate_Baseline_NC_DifPA" localSheetId="14">'7.1 Report Member 35y YTR'!$N$64</definedName>
    <definedName name="ILAnnuityRepRate_Baseline_NC_DifPA" localSheetId="15">'7.2 Report Member 20y YTR'!$N$64</definedName>
    <definedName name="ILAnnuityRepRate_Baseline_NC_DifPA" localSheetId="16">'7.3 Report Member 5y YTR'!$N$64</definedName>
    <definedName name="ILAnnuityRepRate_Shock1" localSheetId="14">'7.1 Report Member 35y YTR'!$L$60</definedName>
    <definedName name="ILAnnuityRepRate_Shock1" localSheetId="15">'7.2 Report Member 20y YTR'!$L$60</definedName>
    <definedName name="ILAnnuityRepRate_Shock1" localSheetId="16">'7.3 Report Member 5y YTR'!$L$60</definedName>
    <definedName name="ILAnnuityRepRate_Shock1_Dif" localSheetId="14">'7.1 Report Member 35y YTR'!$L$61</definedName>
    <definedName name="ILAnnuityRepRate_Shock1_Dif" localSheetId="15">'7.2 Report Member 20y YTR'!$L$61</definedName>
    <definedName name="ILAnnuityRepRate_Shock1_Dif" localSheetId="16">'7.3 Report Member 5y YTR'!$L$61</definedName>
    <definedName name="ILAnnuityRepRate_Shock1_DifContr" localSheetId="14">'7.1 Report Member 35y YTR'!$L$63</definedName>
    <definedName name="ILAnnuityRepRate_Shock1_DifContr" localSheetId="15">'7.2 Report Member 20y YTR'!$L$63</definedName>
    <definedName name="ILAnnuityRepRate_Shock1_DifContr" localSheetId="16">'7.3 Report Member 5y YTR'!$L$63</definedName>
    <definedName name="ILAnnuityRepRate_Shock1_DifPA" localSheetId="14">'7.1 Report Member 35y YTR'!$L$64</definedName>
    <definedName name="ILAnnuityRepRate_Shock1_DifPA" localSheetId="15">'7.2 Report Member 20y YTR'!$L$64</definedName>
    <definedName name="ILAnnuityRepRate_Shock1_DifPA" localSheetId="16">'7.3 Report Member 5y YTR'!$L$64</definedName>
    <definedName name="InfationCurvesUSDbase">#REF!</definedName>
    <definedName name="Inflation_Index_Cap" localSheetId="8">'4.1. Member 35y YTR'!$L$25</definedName>
    <definedName name="Inflation_Index_Cap" localSheetId="9">'4.2. Member 20y YTR'!$L$25</definedName>
    <definedName name="Inflation_Index_Cap" localSheetId="10">'4.3. Member 5y YTR'!$L$25</definedName>
    <definedName name="Inflation_Index_Cap">CHOOSE(ActiveMemberNo, '4.1. Member 35y YTR'!Inflation_Index_Cap, '4.2. Member 20y YTR'!Inflation_Index_Cap, '4.3. Member 5y YTR'!Inflation_Index_Cap)</definedName>
    <definedName name="Inflation_Index_Floor" localSheetId="8">'4.1. Member 35y YTR'!$L$24</definedName>
    <definedName name="Inflation_Index_Floor" localSheetId="9">'4.2. Member 20y YTR'!$L$24</definedName>
    <definedName name="Inflation_Index_Floor" localSheetId="10">'4.3. Member 5y YTR'!$L$24</definedName>
    <definedName name="Inflation_Index_Floor">CHOOSE(ActiveMemberNo, '4.1. Member 35y YTR'!Inflation_Index_Floor, '4.2. Member 20y YTR'!Inflation_Index_Floor, '4.3. Member 5y YTR'!Inflation_Index_Floor)</definedName>
    <definedName name="InflationCurves">CHOOSE(CurrencyNo, InflationCurvesEUR,InflationCurvesGBP,InflationCurvesUSD,InflationCurvesISK,InflationCurvesCHF )</definedName>
    <definedName name="InflationCurvesBase">CHOOSE(CurrencyNo, InflationCurvesEURbase,InflationCurvesGBPbase,InflationCurvesUSDbase,InflationCurvesISKbase,InflationCurvesCHFbase)</definedName>
    <definedName name="InflationCurvesCHF">CHOOSE(ActiveMarketScenarioNo, [0]!InflationCurvesCHF, [0]!InflationCurvesCHF)</definedName>
    <definedName name="InflationCurvesCHFbase">#REF!</definedName>
    <definedName name="InflationCurvesEUR">CHOOSE(ActiveMarketScenarioNo, [0]!InflationCurvesEUR, [0]!InflationCurvesEUR)</definedName>
    <definedName name="InflationCurvesEURbase">#REF!</definedName>
    <definedName name="InflationCurvesGBP">CHOOSE(ActiveMarketScenarioNo, [0]!InflationCurvesGBP, [0]!InflationCurvesGBP)</definedName>
    <definedName name="InflationCurvesGBPbase">#REF!</definedName>
    <definedName name="InflationCurvesISK">CHOOSE(ActiveMarketScenarioNo, [0]!InflationCurvesISK, [0]!InflationCurvesISK)</definedName>
    <definedName name="InflationCurvesISKbase">#REF!</definedName>
    <definedName name="InflationCurvesUSD">CHOOSE(ActiveMarketScenarioNo, [0]!InflationCurvesUSD, [0]!InflationCurvesUSD)</definedName>
    <definedName name="InflationLinkedField" localSheetId="7">'3.2. Asset menu'!$H$25</definedName>
    <definedName name="Initial_pension_wealth" localSheetId="8">'4.1. Member 35y YTR'!$J$21</definedName>
    <definedName name="Initial_pension_wealth" localSheetId="9">'4.2. Member 20y YTR'!$J$21</definedName>
    <definedName name="Initial_pension_wealth" localSheetId="10">'4.3. Member 5y YTR'!$J$21</definedName>
    <definedName name="Initial_pension_wealth">CHOOSE(ActiveMemberNo, '4.1. Member 35y YTR'!Initial_pension_wealth, '4.2. Member 20y YTR'!Initial_pension_wealth, '4.3. Member 5y YTR'!Initial_pension_wealth)</definedName>
    <definedName name="InvestCostOfContribution">'3.1. Product specifications'!$I$18</definedName>
    <definedName name="InvestCostOfFinalWealth">'3.1. Product specifications'!$I$19</definedName>
    <definedName name="InvestPortfolioCosts">'3.1. Product specifications'!$I$17</definedName>
    <definedName name="InvestReturnCost">'3.1. Product specifications'!$I$21</definedName>
    <definedName name="InvestReturnCostFloor">'3.1. Product specifications'!$I$22</definedName>
    <definedName name="IsCalculationTool">Settings!$C$18</definedName>
    <definedName name="IsCapPensionBase" localSheetId="8">'4.1. Member 35y YTR'!$B$25</definedName>
    <definedName name="IsCapPensionBase" localSheetId="9">'4.2. Member 20y YTR'!$B$25</definedName>
    <definedName name="IsCapPensionBase" localSheetId="10">'4.3. Member 5y YTR'!$B$25</definedName>
    <definedName name="IsCapPensionBase">CHOOSE(ActiveMemberNo, '4.1. Member 35y YTR'!IsCapPensionBase, '4.2. Member 20y YTR'!IsCapPensionBase, '4.3. Member 5y YTR'!IsCapPensionBase)</definedName>
    <definedName name="IsEditing" localSheetId="7">'3.2. Asset menu'!$B$14</definedName>
    <definedName name="IsFloorPensionBase" localSheetId="8">'4.1. Member 35y YTR'!$B$24</definedName>
    <definedName name="IsFloorPensionBase" localSheetId="9">'4.2. Member 20y YTR'!$B$24</definedName>
    <definedName name="IsFloorPensionBase" localSheetId="10">'4.3. Member 5y YTR'!$B$24</definedName>
    <definedName name="IsFloorPensionBase">CHOOSE(ActiveMemberNo, '4.1. Member 35y YTR'!IsFloorPensionBase, '4.2. Member 20y YTR'!IsFloorPensionBase, '4.3. Member 5y YTR'!IsFloorPensionBase)</definedName>
    <definedName name="LevelCapPensionBase" localSheetId="8">'4.1. Member 35y YTR'!$J$25</definedName>
    <definedName name="LevelCapPensionBase" localSheetId="9">'4.2. Member 20y YTR'!$J$25</definedName>
    <definedName name="LevelCapPensionBase" localSheetId="10">'4.3. Member 5y YTR'!$J$25</definedName>
    <definedName name="LevelCapPensionBase">CHOOSE(ActiveMemberNo, '4.1. Member 35y YTR'!LevelCapPensionBase, '4.2. Member 20y YTR'!LevelCapPensionBase, '4.3. Member 5y YTR'!LevelCapPensionBase)</definedName>
    <definedName name="LevelFloorPensionBase" localSheetId="8">'4.1. Member 35y YTR'!$J$24</definedName>
    <definedName name="LevelFloorPensionBase" localSheetId="9">'4.2. Member 20y YTR'!$J$24</definedName>
    <definedName name="LevelFloorPensionBase" localSheetId="10">'4.3. Member 5y YTR'!$J$24</definedName>
    <definedName name="LevelFloorPensionBase">CHOOSE(ActiveMemberNo, '4.1. Member 35y YTR'!LevelFloorPensionBase, '4.2. Member 20y YTR'!LevelFloorPensionBase, '4.3. Member 5y YTR'!LevelFloorPensionBase)</definedName>
    <definedName name="LifeExp">CHOOSE(ActiveLifeExpScenarioNo, [0]!LifeExp, [0]!LifeExp, [0]!LifeExp, [0]!LifeExp, [0]!LifeExp, [0]!LifeExp, [0]!LifeExp, [0]!LifeExp, [0]!LifeExp, [0]!LifeExp, [0]!LifeExp, [0]!LifeExp, [0]!LifeExp)</definedName>
    <definedName name="LifeExp_Baseline" localSheetId="14">'7.1 Report Member 35y YTR'!$K$16</definedName>
    <definedName name="LifeExp_Baseline" localSheetId="15">'7.2 Report Member 20y YTR'!$K$16</definedName>
    <definedName name="LifeExp_Baseline" localSheetId="16">'7.3 Report Member 5y YTR'!$K$16</definedName>
    <definedName name="LifeExp_Shock1" localSheetId="14">'7.1 Report Member 35y YTR'!$L$16</definedName>
    <definedName name="LifeExp_Shock1" localSheetId="15">'7.2 Report Member 20y YTR'!$L$16</definedName>
    <definedName name="LifeExp_Shock1" localSheetId="16">'7.3 Report Member 5y YTR'!$L$16</definedName>
    <definedName name="LifeExpAges">CHOOSE(ActiveLifeExpScenarioNo, [0]!LifeExpAges, [0]!LifeExpAges, [0]!LifeExpAges, [0]!LifeExpAges, [0]!LifeExpAges, [0]!LifeExpAges, [0]!LifeExpAges, [0]!LifeExpAges, [0]!LifeExpAges, [0]!LifeExpAges, [0]!LifeExpAges, [0]!LifeExpAges, [0]!LifeExpAges)</definedName>
    <definedName name="LifeExpCountryAbbrev">CHOOSE(ActiveLifeExpScenarioNo, [0]!LifeExpCountryAbbrev, [0]!LifeExpCountryAbbrev, [0]!LifeExpCountryAbbrev, [0]!LifeExpCountryAbbrev, [0]!LifeExpCountryAbbrev, [0]!LifeExpCountryAbbrev, [0]!LifeExpCountryAbbrev, [0]!LifeExpCountryAbbrev, [0]!LifeExpCountryAbbrev, [0]!LifeExpCountryAbbrev, [0]!LifeExpCountryAbbrev, [0]!LifeExpCountryAbbrev, [0]!LifeExpCountryAbbrev)</definedName>
    <definedName name="LifeExpScenario_name">CHOOSE(ActiveLifeExpScenarioNo, [0]!LifeExpScenario_name, [0]!LifeExpScenario_name, [0]!LifeExpScenario_name, [0]!LifeExpScenario_name, [0]!LifeExpScenario_name, [0]!LifeExpScenario_name, [0]!LifeExpScenario_name, [0]!LifeExpScenario_name, [0]!LifeExpScenario_name, [0]!LifeExpScenario_name, [0]!LifeExpScenario_name, [0]!LifeExpScenario_name, [0]!LifeExpScenario_name)</definedName>
    <definedName name="LifeExpYears">CHOOSE(ActiveLifeExpScenarioNo, [0]!LifeExpYears, [0]!LifeExpYears, [0]!LifeExpYears, [0]!LifeExpYears, [0]!LifeExpYears, [0]!LifeExpYears, [0]!LifeExpYears, [0]!LifeExpYears, [0]!LifeExpYears, [0]!LifeExpYears, [0]!LifeExpYears, [0]!LifeExpYears, [0]!LifeExpYears)</definedName>
    <definedName name="ListCurrencies">tblCurrencies[Currency]</definedName>
    <definedName name="ListLifeExpScenarios">tblLifeExpCrossTable[Scenario name]</definedName>
    <definedName name="ListMemberSheets">tblMemberInfoSheets[Sheetname]</definedName>
    <definedName name="ListPayoutOptions">Table14[Payout options]</definedName>
    <definedName name="ListScenarioSheets" localSheetId="2">tblMarketScenarioSheets[Sheetname]</definedName>
    <definedName name="ListSimulationNames">tblListSimulationSpecs[SimulationName]</definedName>
    <definedName name="Max_no_of_assets">Settings!$G$23</definedName>
    <definedName name="Member" localSheetId="14">'7.1 Report Member 35y YTR'!$B$10</definedName>
    <definedName name="Member" localSheetId="15">'7.2 Report Member 20y YTR'!$B$10</definedName>
    <definedName name="Member" localSheetId="16">'7.3 Report Member 5y YTR'!$B$10</definedName>
    <definedName name="MemberName" localSheetId="8">'4.1. Member 35y YTR'!$J$11</definedName>
    <definedName name="MemberName" localSheetId="9">'4.2. Member 20y YTR'!$J$11</definedName>
    <definedName name="MemberName" localSheetId="10">'4.3. Member 5y YTR'!$J$11</definedName>
    <definedName name="MemberName">CHOOSE(ActiveMemberNo, '4.1. Member 35y YTR'!MemberName, '4.2. Member 20y YTR'!MemberName, '4.3. Member 5y YTR'!MemberName)</definedName>
    <definedName name="MemberNo" localSheetId="14">'7.1 Report Member 35y YTR'!$B$11</definedName>
    <definedName name="MemberNo" localSheetId="15">'7.2 Report Member 20y YTR'!$B$11</definedName>
    <definedName name="MemberNo" localSheetId="16">'7.3 Report Member 5y YTR'!$B$11</definedName>
    <definedName name="NomAnnuityInc_Baseline" localSheetId="14">'7.1 Report Member 35y YTR'!$K$29</definedName>
    <definedName name="NomAnnuityInc_Baseline" localSheetId="15">'7.2 Report Member 20y YTR'!$K$29</definedName>
    <definedName name="NomAnnuityInc_Baseline" localSheetId="16">'7.3 Report Member 5y YTR'!$K$29</definedName>
    <definedName name="NomAnnuityInc_Baseline_NC" localSheetId="14">'7.1 Report Member 35y YTR'!$N$29</definedName>
    <definedName name="NomAnnuityInc_Baseline_NC" localSheetId="15">'7.2 Report Member 20y YTR'!$N$29</definedName>
    <definedName name="NomAnnuityInc_Baseline_NC" localSheetId="16">'7.3 Report Member 5y YTR'!$N$29</definedName>
    <definedName name="NomAnnuityInc_Baseline_NC_Dif" localSheetId="14">'7.1 Report Member 35y YTR'!$N$30</definedName>
    <definedName name="NomAnnuityInc_Baseline_NC_Dif" localSheetId="15">'7.2 Report Member 20y YTR'!$N$30</definedName>
    <definedName name="NomAnnuityInc_Baseline_NC_Dif" localSheetId="16">'7.3 Report Member 5y YTR'!$N$30</definedName>
    <definedName name="NomAnnuityInc_Baseline_NC_DifContr" localSheetId="14">'7.1 Report Member 35y YTR'!$N$32</definedName>
    <definedName name="NomAnnuityInc_Baseline_NC_DifContr" localSheetId="15">'7.2 Report Member 20y YTR'!$N$32</definedName>
    <definedName name="NomAnnuityInc_Baseline_NC_DifContr" localSheetId="16">'7.3 Report Member 5y YTR'!$N$32</definedName>
    <definedName name="NomAnnuityInc_Baseline_NC_DifPA" localSheetId="14">'7.1 Report Member 35y YTR'!$N$33</definedName>
    <definedName name="NomAnnuityInc_Baseline_NC_DifPA" localSheetId="15">'7.2 Report Member 20y YTR'!$N$33</definedName>
    <definedName name="NomAnnuityInc_Baseline_NC_DifPA" localSheetId="16">'7.3 Report Member 5y YTR'!$N$33</definedName>
    <definedName name="NomAnnuityInc_Shock1" localSheetId="14">'7.1 Report Member 35y YTR'!$L$29</definedName>
    <definedName name="NomAnnuityInc_Shock1" localSheetId="15">'7.2 Report Member 20y YTR'!$L$29</definedName>
    <definedName name="NomAnnuityInc_Shock1" localSheetId="16">'7.3 Report Member 5y YTR'!$L$29</definedName>
    <definedName name="NomAnnuityInc_Shock1_Dif" localSheetId="14">'7.1 Report Member 35y YTR'!$L$30</definedName>
    <definedName name="NomAnnuityInc_Shock1_Dif" localSheetId="15">'7.2 Report Member 20y YTR'!$L$30</definedName>
    <definedName name="NomAnnuityInc_Shock1_Dif" localSheetId="16">'7.3 Report Member 5y YTR'!$L$30</definedName>
    <definedName name="NomAnnuityInc_Shock1_DifContr" localSheetId="14">'7.1 Report Member 35y YTR'!$L$32</definedName>
    <definedName name="NomAnnuityInc_Shock1_DifContr" localSheetId="15">'7.2 Report Member 20y YTR'!$L$32</definedName>
    <definedName name="NomAnnuityInc_Shock1_DifContr" localSheetId="16">'7.3 Report Member 5y YTR'!$L$32</definedName>
    <definedName name="NomAnnuityInc_Shock1_DifPA" localSheetId="14">'7.1 Report Member 35y YTR'!$L$33</definedName>
    <definedName name="NomAnnuityInc_Shock1_DifPA" localSheetId="15">'7.2 Report Member 20y YTR'!$L$33</definedName>
    <definedName name="NomAnnuityInc_Shock1_DifPA" localSheetId="16">'7.3 Report Member 5y YTR'!$L$33</definedName>
    <definedName name="NomAnnuityRepRate_Baseline" localSheetId="14">'7.1 Report Member 35y YTR'!$K$53</definedName>
    <definedName name="NomAnnuityRepRate_Baseline" localSheetId="15">'7.2 Report Member 20y YTR'!$K$53</definedName>
    <definedName name="NomAnnuityRepRate_Baseline" localSheetId="16">'7.3 Report Member 5y YTR'!$K$53</definedName>
    <definedName name="NomAnnuityRepRate_Baseline_NC" localSheetId="14">'7.1 Report Member 35y YTR'!$N$53</definedName>
    <definedName name="NomAnnuityRepRate_Baseline_NC" localSheetId="15">'7.2 Report Member 20y YTR'!$N$53</definedName>
    <definedName name="NomAnnuityRepRate_Baseline_NC" localSheetId="16">'7.3 Report Member 5y YTR'!$N$53</definedName>
    <definedName name="NomAnnuityRepRate_Baseline_NC_Dif" localSheetId="14">'7.1 Report Member 35y YTR'!$N$54</definedName>
    <definedName name="NomAnnuityRepRate_Baseline_NC_Dif" localSheetId="15">'7.2 Report Member 20y YTR'!$N$54</definedName>
    <definedName name="NomAnnuityRepRate_Baseline_NC_Dif" localSheetId="16">'7.3 Report Member 5y YTR'!$N$54</definedName>
    <definedName name="NomAnnuityRepRate_Baseline_NC_DifContr" localSheetId="14">'7.1 Report Member 35y YTR'!$N$56</definedName>
    <definedName name="NomAnnuityRepRate_Baseline_NC_DifContr" localSheetId="15">'7.2 Report Member 20y YTR'!$N$56</definedName>
    <definedName name="NomAnnuityRepRate_Baseline_NC_DifContr" localSheetId="16">'7.3 Report Member 5y YTR'!$N$56</definedName>
    <definedName name="NomAnnuityRepRate_Baseline_NC_DifPA" localSheetId="14">'7.1 Report Member 35y YTR'!$N$57</definedName>
    <definedName name="NomAnnuityRepRate_Baseline_NC_DifPA" localSheetId="15">'7.2 Report Member 20y YTR'!$N$57</definedName>
    <definedName name="NomAnnuityRepRate_Baseline_NC_DifPA" localSheetId="16">'7.3 Report Member 5y YTR'!$N$57</definedName>
    <definedName name="NomAnnuityRepRate_Shock1" localSheetId="14">'7.1 Report Member 35y YTR'!$L$53</definedName>
    <definedName name="NomAnnuityRepRate_Shock1" localSheetId="15">'7.2 Report Member 20y YTR'!$L$53</definedName>
    <definedName name="NomAnnuityRepRate_Shock1" localSheetId="16">'7.3 Report Member 5y YTR'!$L$53</definedName>
    <definedName name="NomAnnuityRepRate_Shock1_Dif" localSheetId="14">'7.1 Report Member 35y YTR'!$L$54</definedName>
    <definedName name="NomAnnuityRepRate_Shock1_Dif" localSheetId="15">'7.2 Report Member 20y YTR'!$L$54</definedName>
    <definedName name="NomAnnuityRepRate_Shock1_Dif" localSheetId="16">'7.3 Report Member 5y YTR'!$L$54</definedName>
    <definedName name="NomAnnuityRepRate_Shock1_DifContr" localSheetId="14">'7.1 Report Member 35y YTR'!$L$56</definedName>
    <definedName name="NomAnnuityRepRate_Shock1_DifContr" localSheetId="15">'7.2 Report Member 20y YTR'!$L$56</definedName>
    <definedName name="NomAnnuityRepRate_Shock1_DifContr" localSheetId="16">'7.3 Report Member 5y YTR'!$L$56</definedName>
    <definedName name="NomAnnuityRepRate_Shock1_DifPA" localSheetId="14">'7.1 Report Member 35y YTR'!$L$57</definedName>
    <definedName name="NomAnnuityRepRate_Shock1_DifPA" localSheetId="15">'7.2 Report Member 20y YTR'!$L$57</definedName>
    <definedName name="NomAnnuityRepRate_Shock1_DifPA" localSheetId="16">'7.3 Report Member 5y YTR'!$L$57</definedName>
    <definedName name="NomCurves">CHOOSE(CurrencyNo, NomCurvesEUR, NomCurvesGBP,  NomCurvesUSD,  NomCurvesISK, NomCurvesCHF )</definedName>
    <definedName name="NomCurvesBase">CHOOSE(CurrencyNo, NomCurvesEURbase, NomCurvesGBPbase,  NomCurvesUSDbase,  NomCurvesISKbase, NomCurvesCHFbase )</definedName>
    <definedName name="NomCurvesCHF">CHOOSE(ActiveMarketScenarioNo, [0]!NomCurvesCHF, [0]!NomCurvesCHF)</definedName>
    <definedName name="NomCurvesCHFbase">#REF!</definedName>
    <definedName name="NomCurvesEUR">CHOOSE(ActiveMarketScenarioNo, [0]!NomCurvesEUR, [0]!NomCurvesEUR)</definedName>
    <definedName name="NomCurvesEURbase">#REF!</definedName>
    <definedName name="NomCurvesGBP">CHOOSE(ActiveMarketScenarioNo, [0]!NomCurvesGBP, [0]!NomCurvesGBP)</definedName>
    <definedName name="NomCurvesGBPbase">#REF!</definedName>
    <definedName name="NomCurvesISK">CHOOSE(ActiveMarketScenarioNo, [0]!NomCurvesISK, [0]!NomCurvesISK)</definedName>
    <definedName name="NomCurvesISKbase">#REF!</definedName>
    <definedName name="NomCurvesUSD">CHOOSE(ActiveMarketScenarioNo, [0]!NomCurvesUSD, [0]!NomCurvesUSD)</definedName>
    <definedName name="NomCurvesUSDbase">#REF!</definedName>
    <definedName name="NumberOfAssets">'3.2. Asset menu'!$B$16</definedName>
    <definedName name="ParticipantID">'2. Participating IORP'!$E$18</definedName>
    <definedName name="PayOutOption">'3.1. Product specifications'!$I$29</definedName>
    <definedName name="Pension_age" localSheetId="8">'4.1. Member 35y YTR'!$J$13</definedName>
    <definedName name="Pension_age" localSheetId="9">'4.2. Member 20y YTR'!$J$13</definedName>
    <definedName name="Pension_age" localSheetId="10">'4.3. Member 5y YTR'!$J$13</definedName>
    <definedName name="Pension_age">CHOOSE(ActiveMemberNo, '4.1. Member 35y YTR'!Pension_age, '4.2. Member 20y YTR'!Pension_age, '4.3. Member 5y YTR'!Pension_age)</definedName>
    <definedName name="Pension_wealth_Baseline" localSheetId="14">'7.1 Report Member 35y YTR'!$K$19</definedName>
    <definedName name="Pension_wealth_Baseline" localSheetId="15">'7.2 Report Member 20y YTR'!$K$19</definedName>
    <definedName name="Pension_wealth_Baseline" localSheetId="16">'7.3 Report Member 5y YTR'!$K$19</definedName>
    <definedName name="Pension_wealth_Baseline_NC" localSheetId="14">'7.1 Report Member 35y YTR'!$N$19</definedName>
    <definedName name="Pension_wealth_Baseline_NC" localSheetId="15">'7.2 Report Member 20y YTR'!$N$19</definedName>
    <definedName name="Pension_wealth_Baseline_NC" localSheetId="16">'7.3 Report Member 5y YTR'!$N$19</definedName>
    <definedName name="Pension_wealth_Baseline_NC_Dif" localSheetId="14">'7.1 Report Member 35y YTR'!$N$20</definedName>
    <definedName name="Pension_wealth_Baseline_NC_Dif" localSheetId="15">'7.2 Report Member 20y YTR'!$N$20</definedName>
    <definedName name="Pension_wealth_Baseline_NC_Dif" localSheetId="16">'7.3 Report Member 5y YTR'!$N$20</definedName>
    <definedName name="Pension_wealth_Baseline_NC_DifContr" localSheetId="14">'7.1 Report Member 35y YTR'!$N$22</definedName>
    <definedName name="Pension_wealth_Baseline_NC_DifContr" localSheetId="15">'7.2 Report Member 20y YTR'!$N$22</definedName>
    <definedName name="Pension_wealth_Baseline_NC_DifContr" localSheetId="16">'7.3 Report Member 5y YTR'!$N$22</definedName>
    <definedName name="Pension_wealth_Baseline_NC_DifPA" localSheetId="14">'7.1 Report Member 35y YTR'!$N$23</definedName>
    <definedName name="Pension_wealth_Baseline_NC_DifPA" localSheetId="15">'7.2 Report Member 20y YTR'!$N$23</definedName>
    <definedName name="Pension_wealth_Baseline_NC_DifPA" localSheetId="16">'7.3 Report Member 5y YTR'!$N$23</definedName>
    <definedName name="Pension_wealth_Shock1" localSheetId="14">'7.1 Report Member 35y YTR'!$L$19</definedName>
    <definedName name="Pension_wealth_Shock1" localSheetId="15">'7.2 Report Member 20y YTR'!$L$19</definedName>
    <definedName name="Pension_wealth_Shock1" localSheetId="16">'7.3 Report Member 5y YTR'!$L$19</definedName>
    <definedName name="Pension_wealth_Shock1_Dif" localSheetId="14">'7.1 Report Member 35y YTR'!$L$20</definedName>
    <definedName name="Pension_wealth_Shock1_Dif" localSheetId="15">'7.2 Report Member 20y YTR'!$L$20</definedName>
    <definedName name="Pension_wealth_Shock1_Dif" localSheetId="16">'7.3 Report Member 5y YTR'!$L$20</definedName>
    <definedName name="Pension_wealth_Shock1_DifContr" localSheetId="14">'7.1 Report Member 35y YTR'!$L$22</definedName>
    <definedName name="Pension_wealth_Shock1_DifContr" localSheetId="15">'7.2 Report Member 20y YTR'!$L$22</definedName>
    <definedName name="Pension_wealth_Shock1_DifContr" localSheetId="16">'7.3 Report Member 5y YTR'!$L$22</definedName>
    <definedName name="Pension_wealth_Shock1_DifPA" localSheetId="14">'7.1 Report Member 35y YTR'!$L$23</definedName>
    <definedName name="Pension_wealth_Shock1_DifPA" localSheetId="15">'7.2 Report Member 20y YTR'!$L$23</definedName>
    <definedName name="Pension_wealth_Shock1_DifPA" localSheetId="16">'7.3 Report Member 5y YTR'!$L$23</definedName>
    <definedName name="Price_inflation">CHOOSE(CurrencyNo, Price_inflation_EUR, Price_inflation_GBP,Price_inflation_EUR,Price_inflation_ISK, Price_inflation_CHF )</definedName>
    <definedName name="Price_inflation_CHF">CHOOSE(ActiveMarketScenarioNo, [0]!Price_inflation_CHF, [0]!Price_inflation_CHF)</definedName>
    <definedName name="Price_inflation_EUR">CHOOSE(ActiveMarketScenarioNo, [0]!Price_inflation_EUR, [0]!Price_inflation_EUR)</definedName>
    <definedName name="Price_inflation_GBP">CHOOSE(ActiveMarketScenarioNo, [0]!Price_inflation_GBP, [0]!Price_inflation_GBP)</definedName>
    <definedName name="Price_inflation_ISK">CHOOSE(ActiveMarketScenarioNo, [0]!Price_inflation_ISK, [0]!Price_inflation_ISK)</definedName>
    <definedName name="Private_Equity" localSheetId="14">'7.1 Report Member 35y YTR'!$R$96:$R$131</definedName>
    <definedName name="Private_Equity" localSheetId="15">'7.2 Report Member 20y YTR'!$R$96:$R$116</definedName>
    <definedName name="Private_Equity" localSheetId="16">'7.3 Report Member 5y YTR'!$R$96:$R$101</definedName>
    <definedName name="Projection_real_wage_growth">Settings!$G$22</definedName>
    <definedName name="Q15_Provider" localSheetId="11">'5. Questionnaire'!$H$35</definedName>
    <definedName name="Q16_Explanation" localSheetId="11">'5. Questionnaire'!$F$42</definedName>
    <definedName name="Q16_IsLegalConstraint" localSheetId="11">'5. Questionnaire'!$H$39</definedName>
    <definedName name="Q18_IsInflationLinkedAnnuity" localSheetId="11">'5. Questionnaire'!$B$62</definedName>
    <definedName name="Q18_IsLifeAnnuity" localSheetId="11">'5. Questionnaire'!$B$60</definedName>
    <definedName name="Q18_IsNominalAnnuity" localSheetId="11">'5. Questionnaire'!$B$61</definedName>
    <definedName name="Q18_IsTemporaryAnnuity" localSheetId="11">'5. Questionnaire'!$B$59</definedName>
    <definedName name="Q18_IsVariableAnnuity" localSheetId="11">'5. Questionnaire'!$B$63</definedName>
    <definedName name="Q2_NoActiveMembers" localSheetId="11">'5. Questionnaire'!$H$13</definedName>
    <definedName name="Q2_NoDeferredMembers" localSheetId="11">'5. Questionnaire'!$H$14</definedName>
    <definedName name="Q2_NoMembersRetired" localSheetId="11">'5. Questionnaire'!$H$15</definedName>
    <definedName name="Q2_NoRetiredMembers" localSheetId="11">'5. Questionnaire'!$H$15</definedName>
    <definedName name="Q2_NoTotalMembers" localSheetId="11">'5. Questionnaire'!$H$16</definedName>
    <definedName name="Q3_AssetValue0_5" localSheetId="11">'5. Questionnaire'!$I$21</definedName>
    <definedName name="Q3_AssetValue10_15" localSheetId="11">'5. Questionnaire'!$I$23</definedName>
    <definedName name="Q3_AssetValue15_20" localSheetId="11">'5. Questionnaire'!$I$24</definedName>
    <definedName name="Q3_AssetValue20_25" localSheetId="11">'5. Questionnaire'!$I$25</definedName>
    <definedName name="Q3_AssetValue25_30" localSheetId="11">'5. Questionnaire'!$I$26</definedName>
    <definedName name="Q3_AssetValue30_35" localSheetId="11">'5. Questionnaire'!$I$27</definedName>
    <definedName name="Q3_AssetValue35andMore" localSheetId="11">'5. Questionnaire'!$I$28</definedName>
    <definedName name="Q3_AssetValue5_10" localSheetId="11">'5. Questionnaire'!$I$22</definedName>
    <definedName name="Q3_AssetValueTotal" localSheetId="11">'5. Questionnaire'!$I$29</definedName>
    <definedName name="Q3_NoMembers0_5" localSheetId="11">'5. Questionnaire'!$H$21</definedName>
    <definedName name="Q3_NoMembers10_15" localSheetId="11">'5. Questionnaire'!$H$23</definedName>
    <definedName name="Q3_NoMembers15_20" localSheetId="11">'5. Questionnaire'!$H$24</definedName>
    <definedName name="Q3_NoMembers20_25" localSheetId="11">'5. Questionnaire'!$H$25</definedName>
    <definedName name="Q3_NoMembers25_30" localSheetId="11">'5. Questionnaire'!$H$26</definedName>
    <definedName name="Q3_NoMembers30_35" localSheetId="11">'5. Questionnaire'!$H$27</definedName>
    <definedName name="Q3_NoMembers35andMore" localSheetId="11">'5. Questionnaire'!$H$28</definedName>
    <definedName name="Q3_NoMembers5_10" localSheetId="11">'5. Questionnaire'!$H$22</definedName>
    <definedName name="Q3_NoMembersTotal" localSheetId="11">'5. Questionnaire'!$H$29</definedName>
    <definedName name="Real_Estate" localSheetId="14">'7.1 Report Member 35y YTR'!$H$96:$H$131</definedName>
    <definedName name="Real_Estate" localSheetId="15">'7.2 Report Member 20y YTR'!$H$96:$H$116</definedName>
    <definedName name="Real_Estate" localSheetId="16">'7.3 Report Member 5y YTR'!$H$96:$H$101</definedName>
    <definedName name="Real_Estate_EU" localSheetId="14">'7.1 Report Member 35y YTR'!$T$96:$T$131</definedName>
    <definedName name="Real_Estate_EU" localSheetId="15">'7.2 Report Member 20y YTR'!$T$96:$T$116</definedName>
    <definedName name="Real_Estate_EU" localSheetId="16">'7.3 Report Member 5y YTR'!$T$96:$T$101</definedName>
    <definedName name="Real_Estate_Global" localSheetId="14">'7.1 Report Member 35y YTR'!$X$96:$X$131</definedName>
    <definedName name="Real_Estate_Global" localSheetId="15">'7.2 Report Member 20y YTR'!$X$96:$X$116</definedName>
    <definedName name="Real_Estate_Global" localSheetId="16">'7.3 Report Member 5y YTR'!$V$96:$V$101</definedName>
    <definedName name="Real_Estate_Non_EU" localSheetId="14">'7.1 Report Member 35y YTR'!$W$96:$W$131</definedName>
    <definedName name="Real_Estate_Non_EU" localSheetId="15">'7.2 Report Member 20y YTR'!$W$96:$W$116</definedName>
    <definedName name="Real_Estate_Non_EU" localSheetId="16">'7.3 Report Member 5y YTR'!$U$96:$U$101</definedName>
    <definedName name="Real_estate_return" xml:space="preserve"> CHOOSE(ActiveMarketScenarioNo,#REF!)</definedName>
    <definedName name="ReportAssetWeightsAdverse" localSheetId="14">'4.1. Member 35y YTR'!AssetWeightsAdverse</definedName>
    <definedName name="ReportAssetWeightsAdverse" localSheetId="15">'4.2. Member 20y YTR'!AssetWeightsAdverse</definedName>
    <definedName name="ReportAssetWeightsAdverse" localSheetId="16">'4.3. Member 5y YTR'!AssetWeightsAdverse</definedName>
    <definedName name="ReportAssetWeightsBaseline" localSheetId="14">'4.1. Member 35y YTR'!AssetWeightsBaseline</definedName>
    <definedName name="ReportAssetWeightsBaseline" localSheetId="15">'4.2. Member 20y YTR'!AssetWeightsBaseline</definedName>
    <definedName name="ReportAssetWeightsBaseline" localSheetId="16">'4.3. Member 5y YTR'!AssetWeightsBaseline</definedName>
    <definedName name="ReportYTR" localSheetId="14">'4.1. Member 35y YTR'!Years_to_retirement</definedName>
    <definedName name="ReportYTR" localSheetId="15">'4.2. Member 20y YTR'!Years_to_retirement</definedName>
    <definedName name="ReportYTR" localSheetId="16">'4.3. Member 5y YTR'!Years_to_retirement</definedName>
    <definedName name="ReturnIndexes">CHOOSE(ActiveMarketScenarioNo, [0]!ReturnIndexes, [0]!ReturnIndexes)</definedName>
    <definedName name="ReturnIndexNames">CHOOSE(ActiveMarketScenarioNo, [0]!ReturnIndexNames, [0]!ReturnIndexNames)</definedName>
    <definedName name="ScenarioCurrency">CHOOSE(ActiveMarketScenarioNo, [0]!ScenarioCurrency)</definedName>
    <definedName name="ScenarioName">CHOOSE(ActiveMarketScenarioNo, [0]!ScenarioName, [0]!ScenarioName)</definedName>
    <definedName name="SpreadNames">CHOOSE(ActiveMarketScenarioNo, [0]!SpreadNames, [0]!SpreadNames)</definedName>
    <definedName name="Spreads">CHOOSE(ActiveMarketScenarioNo, [0]!Spreads, [0]!Spreads)</definedName>
    <definedName name="SurvivalCurve">CHOOSE(ActiveLifeExpScenarioNo, [0]!SurvivalCurve, [0]!SurvivalCurve, [0]!SurvivalCurve, [0]!SurvivalCurve, [0]!SurvivalCurve, [0]!SurvivalCurve, [0]!SurvivalCurve, [0]!SurvivalCurve, [0]!SurvivalCurve, [0]!SurvivalCurve, [0]!SurvivalCurve, [0]!SurvivalCurve, [0]!SurvivalCurve)</definedName>
    <definedName name="Total_hedge_effect" localSheetId="8">'4.1. Member 35y YTR'!$B$32</definedName>
    <definedName name="Total_hedge_effect" localSheetId="9">'4.2. Member 20y YTR'!$B$32</definedName>
    <definedName name="Total_hedge_effect" localSheetId="10">'4.3. Member 5y YTR'!$B$32</definedName>
    <definedName name="Total_hedge_effect">CHOOSE(ActiveMemberNo, '4.1. Member 35y YTR'!Total_hedge_effect, '4.2. Member 20y YTR'!Total_hedge_effect, '4.3. Member 5y YTR'!Total_hedge_effect)</definedName>
    <definedName name="Valid_Input">'6. Complete exercise'!$B$15</definedName>
    <definedName name="ValidateTotal" localSheetId="8">'4.1. Member 35y YTR'!$B$41</definedName>
    <definedName name="ValidateTotal" localSheetId="9">'4.2. Member 20y YTR'!$B$41</definedName>
    <definedName name="ValidateTotal" localSheetId="10">'4.3. Member 5y YTR'!$B$41</definedName>
    <definedName name="Wage" localSheetId="8">'4.1. Member 35y YTR'!$J$19</definedName>
    <definedName name="Wage" localSheetId="9">'4.2. Member 20y YTR'!$J$19</definedName>
    <definedName name="Wage" localSheetId="10">'4.3. Member 5y YTR'!$J$19</definedName>
    <definedName name="Wage">CHOOSE(ActiveMemberNo, '4.1. Member 35y YTR'!Wage, '4.2. Member 20y YTR'!Wage, '4.3. Member 5y YTR'!Wage)</definedName>
    <definedName name="Wage_inflation">CHOOSE(CurrencyNo, Wage_inflation_EUR,Wage_inflation_GBP,Wage_inflation_EUR,Wage_inflation_ISK,Wage_inflation_CHF)</definedName>
    <definedName name="Wage_inflation_CHF">CHOOSE(ActiveMarketScenarioNo, [0]!Wage_inflation_CHF, [0]!Wage_inflation_CHF)</definedName>
    <definedName name="Wage_inflation_EUR">CHOOSE(ActiveMarketScenarioNo, [0]!Wage_inflation_EUR, [0]!Wage_inflation_EUR)</definedName>
    <definedName name="Wage_inflation_GBP">CHOOSE(ActiveMarketScenarioNo, [0]!Wage_inflation_GBP, [0]!Wage_inflation_GBP)</definedName>
    <definedName name="Wage_inflation_ISK">CHOOSE(ActiveMarketScenarioNo, [0]!Wage_inflation_ISK, [0]!Wage_inflation_ISK)</definedName>
    <definedName name="Years">CHOOSE(ActiveMarketScenarioNo, [0]!Years, [0]!Years)</definedName>
    <definedName name="Years_to_retirement" localSheetId="8">'4.1. Member 35y YTR'!$G$47:$G$147</definedName>
    <definedName name="Years_to_retirement" localSheetId="9">'4.2. Member 20y YTR'!$G$47:$G$147</definedName>
    <definedName name="Years_to_retirement" localSheetId="10">'4.3. Member 5y YTR'!$G$47:$G$147</definedName>
    <definedName name="Years_to_retirement">CHOOSE(ActiveMemberNo, '4.1. Member 35y YTR'!Years_to_retirement, '4.2. Member 20y YTR'!Years_to_retirement, '4.3. Member 5y YTR'!Years_to_retirement)</definedName>
    <definedName name="YTR" localSheetId="14">'7.1 Report Member 35y YTR'!$F$96:$F$131</definedName>
    <definedName name="YTR" localSheetId="15">'7.2 Report Member 20y YTR'!$F$96:$F$116</definedName>
    <definedName name="YTRSim">#REF!</definedName>
  </definedNames>
  <calcPr calcId="162913"/>
</workbook>
</file>

<file path=xl/calcChain.xml><?xml version="1.0" encoding="utf-8"?>
<calcChain xmlns="http://schemas.openxmlformats.org/spreadsheetml/2006/main">
  <c r="Z31" i="13" l="1"/>
  <c r="AD31" i="13"/>
  <c r="AZ31" i="13" s="1"/>
  <c r="AE31" i="13"/>
  <c r="AF31" i="13"/>
  <c r="AG31" i="13"/>
  <c r="AH31" i="13"/>
  <c r="AI31" i="13"/>
  <c r="AJ31" i="13"/>
  <c r="AK31" i="13"/>
  <c r="AL31" i="13"/>
  <c r="AM31" i="13"/>
  <c r="AN31" i="13"/>
  <c r="AO31" i="13"/>
  <c r="AP31" i="13"/>
  <c r="AQ31" i="13"/>
  <c r="BA31" i="13"/>
  <c r="BB31" i="13"/>
  <c r="BC31" i="13"/>
  <c r="BD31" i="13"/>
  <c r="BE31" i="13"/>
  <c r="BF31" i="13"/>
  <c r="BG31" i="13"/>
  <c r="BH31" i="13"/>
  <c r="BI31" i="13"/>
  <c r="BJ31" i="13"/>
  <c r="BK31" i="13"/>
  <c r="BL31" i="13"/>
  <c r="BM31" i="13"/>
  <c r="BN31" i="13"/>
  <c r="BO31" i="13"/>
  <c r="BP31" i="13"/>
  <c r="BQ31" i="13"/>
  <c r="BR31" i="13"/>
  <c r="BS31" i="13"/>
  <c r="BT31" i="13"/>
  <c r="AY31" i="13" l="1"/>
  <c r="AW31" i="13"/>
  <c r="AX31" i="13"/>
  <c r="R57" i="31"/>
  <c r="R56" i="31"/>
  <c r="R55" i="31"/>
  <c r="R54" i="31"/>
  <c r="R53" i="31"/>
  <c r="R52" i="31"/>
  <c r="R51" i="31"/>
  <c r="R50" i="31"/>
  <c r="R49" i="31"/>
  <c r="R48" i="31"/>
  <c r="R47" i="31"/>
  <c r="R46" i="31"/>
  <c r="R45" i="31"/>
  <c r="R44" i="31"/>
  <c r="R43" i="31"/>
  <c r="R42" i="31"/>
  <c r="R41" i="31"/>
  <c r="R40" i="31"/>
  <c r="R39" i="31"/>
  <c r="R38" i="31"/>
  <c r="R37" i="31"/>
  <c r="R36" i="31"/>
  <c r="R35" i="31"/>
  <c r="R34" i="31"/>
  <c r="R33" i="31"/>
  <c r="R32" i="31"/>
  <c r="R31" i="31"/>
  <c r="R30" i="31"/>
  <c r="R29" i="31"/>
  <c r="R28" i="31"/>
  <c r="R27" i="31"/>
  <c r="R26" i="31"/>
  <c r="R25" i="31"/>
  <c r="R24" i="31"/>
  <c r="R23" i="31"/>
  <c r="R22" i="31"/>
  <c r="R21" i="31"/>
  <c r="R20" i="31"/>
  <c r="R19" i="31"/>
  <c r="R18" i="31"/>
  <c r="R17" i="31"/>
  <c r="R16" i="31"/>
  <c r="R15" i="31"/>
  <c r="R14" i="31"/>
  <c r="R13" i="31"/>
  <c r="R12" i="31"/>
  <c r="R11" i="31"/>
  <c r="R10" i="31"/>
  <c r="R9" i="31"/>
  <c r="R8" i="31"/>
  <c r="R7" i="31" s="1"/>
  <c r="F7" i="121" l="1"/>
  <c r="B18" i="11" l="1"/>
  <c r="B13" i="11"/>
  <c r="E15" i="11"/>
  <c r="E14" i="11"/>
  <c r="E19" i="11" l="1"/>
  <c r="B21" i="11"/>
  <c r="D18" i="124" s="1"/>
  <c r="G19" i="11" l="1"/>
  <c r="F19" i="11"/>
  <c r="L32" i="61" l="1"/>
  <c r="L32" i="60"/>
  <c r="L32" i="20"/>
  <c r="J80" i="126" a="1"/>
  <c r="J80" i="126" s="1"/>
  <c r="I80" i="126" a="1"/>
  <c r="I80" i="126" s="1"/>
  <c r="H80" i="126" a="1"/>
  <c r="H80" i="126" s="1"/>
  <c r="B143" i="126"/>
  <c r="B144" i="126"/>
  <c r="B145" i="126"/>
  <c r="I16" i="126"/>
  <c r="B80" i="126" l="1"/>
  <c r="C80" i="126" s="1"/>
  <c r="J83" i="126"/>
  <c r="J81" i="126"/>
  <c r="J82" i="126"/>
  <c r="I83" i="126"/>
  <c r="I81" i="126"/>
  <c r="I82" i="126"/>
  <c r="H83" i="126"/>
  <c r="H81" i="126"/>
  <c r="H82" i="126"/>
  <c r="B138" i="126"/>
  <c r="B139" i="126"/>
  <c r="B137" i="126"/>
  <c r="B81" i="126" l="1"/>
  <c r="C81" i="126" s="1"/>
  <c r="B82" i="126"/>
  <c r="C82" i="126" s="1"/>
  <c r="B83" i="126"/>
  <c r="C83" i="126" s="1"/>
  <c r="BE147" i="61" l="1"/>
  <c r="BD147" i="61"/>
  <c r="BC147" i="61"/>
  <c r="BB147" i="61"/>
  <c r="BA147" i="61"/>
  <c r="AZ147" i="61"/>
  <c r="AY147" i="61"/>
  <c r="AX147" i="61"/>
  <c r="AW147" i="61"/>
  <c r="AV147" i="61"/>
  <c r="AU147" i="61"/>
  <c r="AT147" i="61"/>
  <c r="AS147" i="61"/>
  <c r="AR147" i="61"/>
  <c r="AQ147" i="61"/>
  <c r="AP147" i="61"/>
  <c r="AO147" i="61"/>
  <c r="AN147" i="61"/>
  <c r="AM147" i="61"/>
  <c r="AL147" i="61"/>
  <c r="BE146" i="61"/>
  <c r="BD146" i="61"/>
  <c r="BC146" i="61"/>
  <c r="BB146" i="61"/>
  <c r="BA146" i="61"/>
  <c r="AZ146" i="61"/>
  <c r="AY146" i="61"/>
  <c r="AX146" i="61"/>
  <c r="AW146" i="61"/>
  <c r="AV146" i="61"/>
  <c r="AU146" i="61"/>
  <c r="AT146" i="61"/>
  <c r="AS146" i="61"/>
  <c r="AR146" i="61"/>
  <c r="AQ146" i="61"/>
  <c r="AP146" i="61"/>
  <c r="AO146" i="61"/>
  <c r="AN146" i="61"/>
  <c r="AM146" i="61"/>
  <c r="AL146" i="61"/>
  <c r="BE145" i="61"/>
  <c r="BD145" i="61"/>
  <c r="BC145" i="61"/>
  <c r="BB145" i="61"/>
  <c r="BA145" i="61"/>
  <c r="AZ145" i="61"/>
  <c r="AY145" i="61"/>
  <c r="AX145" i="61"/>
  <c r="AW145" i="61"/>
  <c r="AV145" i="61"/>
  <c r="AU145" i="61"/>
  <c r="AT145" i="61"/>
  <c r="AS145" i="61"/>
  <c r="AR145" i="61"/>
  <c r="AQ145" i="61"/>
  <c r="AP145" i="61"/>
  <c r="AO145" i="61"/>
  <c r="AN145" i="61"/>
  <c r="AM145" i="61"/>
  <c r="AL145" i="61"/>
  <c r="BE144" i="61"/>
  <c r="BD144" i="61"/>
  <c r="BC144" i="61"/>
  <c r="BB144" i="61"/>
  <c r="BA144" i="61"/>
  <c r="AZ144" i="61"/>
  <c r="AY144" i="61"/>
  <c r="AX144" i="61"/>
  <c r="AW144" i="61"/>
  <c r="AV144" i="61"/>
  <c r="AU144" i="61"/>
  <c r="AT144" i="61"/>
  <c r="AS144" i="61"/>
  <c r="AR144" i="61"/>
  <c r="AQ144" i="61"/>
  <c r="AP144" i="61"/>
  <c r="AO144" i="61"/>
  <c r="AN144" i="61"/>
  <c r="AM144" i="61"/>
  <c r="AL144" i="61"/>
  <c r="BE143" i="61"/>
  <c r="BD143" i="61"/>
  <c r="BC143" i="61"/>
  <c r="BB143" i="61"/>
  <c r="BA143" i="61"/>
  <c r="AZ143" i="61"/>
  <c r="AY143" i="61"/>
  <c r="AX143" i="61"/>
  <c r="AW143" i="61"/>
  <c r="AV143" i="61"/>
  <c r="AU143" i="61"/>
  <c r="AT143" i="61"/>
  <c r="AS143" i="61"/>
  <c r="AR143" i="61"/>
  <c r="AQ143" i="61"/>
  <c r="AP143" i="61"/>
  <c r="AO143" i="61"/>
  <c r="AN143" i="61"/>
  <c r="AM143" i="61"/>
  <c r="AL143" i="61"/>
  <c r="BE142" i="61"/>
  <c r="BD142" i="61"/>
  <c r="BC142" i="61"/>
  <c r="BB142" i="61"/>
  <c r="BA142" i="61"/>
  <c r="AZ142" i="61"/>
  <c r="AY142" i="61"/>
  <c r="AX142" i="61"/>
  <c r="AW142" i="61"/>
  <c r="AV142" i="61"/>
  <c r="AU142" i="61"/>
  <c r="AT142" i="61"/>
  <c r="AS142" i="61"/>
  <c r="AR142" i="61"/>
  <c r="AQ142" i="61"/>
  <c r="AP142" i="61"/>
  <c r="AO142" i="61"/>
  <c r="AN142" i="61"/>
  <c r="AM142" i="61"/>
  <c r="AL142" i="61"/>
  <c r="BE141" i="61"/>
  <c r="BD141" i="61"/>
  <c r="BC141" i="61"/>
  <c r="BB141" i="61"/>
  <c r="BA141" i="61"/>
  <c r="AZ141" i="61"/>
  <c r="AY141" i="61"/>
  <c r="AX141" i="61"/>
  <c r="AW141" i="61"/>
  <c r="AV141" i="61"/>
  <c r="AU141" i="61"/>
  <c r="AT141" i="61"/>
  <c r="AS141" i="61"/>
  <c r="AR141" i="61"/>
  <c r="AQ141" i="61"/>
  <c r="AP141" i="61"/>
  <c r="AO141" i="61"/>
  <c r="AN141" i="61"/>
  <c r="AM141" i="61"/>
  <c r="AL141" i="61"/>
  <c r="BE140" i="61"/>
  <c r="BD140" i="61"/>
  <c r="BC140" i="61"/>
  <c r="BB140" i="61"/>
  <c r="BA140" i="61"/>
  <c r="AZ140" i="61"/>
  <c r="AY140" i="61"/>
  <c r="AX140" i="61"/>
  <c r="AW140" i="61"/>
  <c r="AV140" i="61"/>
  <c r="AU140" i="61"/>
  <c r="AT140" i="61"/>
  <c r="AS140" i="61"/>
  <c r="AR140" i="61"/>
  <c r="AQ140" i="61"/>
  <c r="AP140" i="61"/>
  <c r="AO140" i="61"/>
  <c r="AN140" i="61"/>
  <c r="AM140" i="61"/>
  <c r="AL140" i="61"/>
  <c r="BE139" i="61"/>
  <c r="BD139" i="61"/>
  <c r="BC139" i="61"/>
  <c r="BB139" i="61"/>
  <c r="BA139" i="61"/>
  <c r="AZ139" i="61"/>
  <c r="AY139" i="61"/>
  <c r="AX139" i="61"/>
  <c r="AW139" i="61"/>
  <c r="AV139" i="61"/>
  <c r="AU139" i="61"/>
  <c r="AT139" i="61"/>
  <c r="AS139" i="61"/>
  <c r="AR139" i="61"/>
  <c r="AQ139" i="61"/>
  <c r="AP139" i="61"/>
  <c r="AO139" i="61"/>
  <c r="AN139" i="61"/>
  <c r="AM139" i="61"/>
  <c r="AL139" i="61"/>
  <c r="BE138" i="61"/>
  <c r="BD138" i="61"/>
  <c r="BC138" i="61"/>
  <c r="BB138" i="61"/>
  <c r="BA138" i="61"/>
  <c r="AZ138" i="61"/>
  <c r="AY138" i="61"/>
  <c r="AX138" i="61"/>
  <c r="AW138" i="61"/>
  <c r="AV138" i="61"/>
  <c r="AU138" i="61"/>
  <c r="AT138" i="61"/>
  <c r="AS138" i="61"/>
  <c r="AR138" i="61"/>
  <c r="AQ138" i="61"/>
  <c r="AP138" i="61"/>
  <c r="AO138" i="61"/>
  <c r="AN138" i="61"/>
  <c r="AM138" i="61"/>
  <c r="AL138" i="61"/>
  <c r="BE137" i="61"/>
  <c r="BD137" i="61"/>
  <c r="BC137" i="61"/>
  <c r="BB137" i="61"/>
  <c r="BA137" i="61"/>
  <c r="AZ137" i="61"/>
  <c r="AY137" i="61"/>
  <c r="AX137" i="61"/>
  <c r="AW137" i="61"/>
  <c r="AV137" i="61"/>
  <c r="AU137" i="61"/>
  <c r="AT137" i="61"/>
  <c r="AS137" i="61"/>
  <c r="AR137" i="61"/>
  <c r="AQ137" i="61"/>
  <c r="AP137" i="61"/>
  <c r="AO137" i="61"/>
  <c r="AN137" i="61"/>
  <c r="AM137" i="61"/>
  <c r="AL137" i="61"/>
  <c r="BE136" i="61"/>
  <c r="BD136" i="61"/>
  <c r="BC136" i="61"/>
  <c r="BB136" i="61"/>
  <c r="BA136" i="61"/>
  <c r="AZ136" i="61"/>
  <c r="AY136" i="61"/>
  <c r="AX136" i="61"/>
  <c r="AW136" i="61"/>
  <c r="AV136" i="61"/>
  <c r="AU136" i="61"/>
  <c r="AT136" i="61"/>
  <c r="AS136" i="61"/>
  <c r="AR136" i="61"/>
  <c r="AQ136" i="61"/>
  <c r="AP136" i="61"/>
  <c r="AO136" i="61"/>
  <c r="AN136" i="61"/>
  <c r="AM136" i="61"/>
  <c r="AL136" i="61"/>
  <c r="BE135" i="61"/>
  <c r="BD135" i="61"/>
  <c r="BC135" i="61"/>
  <c r="BB135" i="61"/>
  <c r="BA135" i="61"/>
  <c r="AZ135" i="61"/>
  <c r="AY135" i="61"/>
  <c r="AX135" i="61"/>
  <c r="AW135" i="61"/>
  <c r="AV135" i="61"/>
  <c r="AU135" i="61"/>
  <c r="AT135" i="61"/>
  <c r="AS135" i="61"/>
  <c r="AR135" i="61"/>
  <c r="AQ135" i="61"/>
  <c r="AP135" i="61"/>
  <c r="AO135" i="61"/>
  <c r="AN135" i="61"/>
  <c r="AM135" i="61"/>
  <c r="AL135" i="61"/>
  <c r="BE134" i="61"/>
  <c r="BD134" i="61"/>
  <c r="BC134" i="61"/>
  <c r="BB134" i="61"/>
  <c r="BA134" i="61"/>
  <c r="AZ134" i="61"/>
  <c r="AY134" i="61"/>
  <c r="AX134" i="61"/>
  <c r="AW134" i="61"/>
  <c r="AV134" i="61"/>
  <c r="AU134" i="61"/>
  <c r="AT134" i="61"/>
  <c r="AS134" i="61"/>
  <c r="AR134" i="61"/>
  <c r="AQ134" i="61"/>
  <c r="AP134" i="61"/>
  <c r="AO134" i="61"/>
  <c r="AN134" i="61"/>
  <c r="AM134" i="61"/>
  <c r="AL134" i="61"/>
  <c r="BE133" i="61"/>
  <c r="BD133" i="61"/>
  <c r="BC133" i="61"/>
  <c r="BB133" i="61"/>
  <c r="BA133" i="61"/>
  <c r="AZ133" i="61"/>
  <c r="AY133" i="61"/>
  <c r="AX133" i="61"/>
  <c r="AW133" i="61"/>
  <c r="AV133" i="61"/>
  <c r="AU133" i="61"/>
  <c r="AT133" i="61"/>
  <c r="AS133" i="61"/>
  <c r="AR133" i="61"/>
  <c r="AQ133" i="61"/>
  <c r="AP133" i="61"/>
  <c r="AO133" i="61"/>
  <c r="AN133" i="61"/>
  <c r="AM133" i="61"/>
  <c r="AL133" i="61"/>
  <c r="BE132" i="61"/>
  <c r="BD132" i="61"/>
  <c r="BC132" i="61"/>
  <c r="BB132" i="61"/>
  <c r="BA132" i="61"/>
  <c r="AZ132" i="61"/>
  <c r="AY132" i="61"/>
  <c r="AX132" i="61"/>
  <c r="AW132" i="61"/>
  <c r="AV132" i="61"/>
  <c r="AU132" i="61"/>
  <c r="AT132" i="61"/>
  <c r="AS132" i="61"/>
  <c r="AR132" i="61"/>
  <c r="AQ132" i="61"/>
  <c r="AP132" i="61"/>
  <c r="AO132" i="61"/>
  <c r="AN132" i="61"/>
  <c r="AM132" i="61"/>
  <c r="AL132" i="61"/>
  <c r="BE131" i="61"/>
  <c r="BD131" i="61"/>
  <c r="BC131" i="61"/>
  <c r="BB131" i="61"/>
  <c r="BA131" i="61"/>
  <c r="AZ131" i="61"/>
  <c r="AY131" i="61"/>
  <c r="AX131" i="61"/>
  <c r="AW131" i="61"/>
  <c r="AV131" i="61"/>
  <c r="AU131" i="61"/>
  <c r="AT131" i="61"/>
  <c r="AS131" i="61"/>
  <c r="AR131" i="61"/>
  <c r="AQ131" i="61"/>
  <c r="AP131" i="61"/>
  <c r="AO131" i="61"/>
  <c r="AN131" i="61"/>
  <c r="AM131" i="61"/>
  <c r="AL131" i="61"/>
  <c r="BE130" i="61"/>
  <c r="BD130" i="61"/>
  <c r="BC130" i="61"/>
  <c r="BB130" i="61"/>
  <c r="BA130" i="61"/>
  <c r="AZ130" i="61"/>
  <c r="AY130" i="61"/>
  <c r="AX130" i="61"/>
  <c r="AW130" i="61"/>
  <c r="AV130" i="61"/>
  <c r="AU130" i="61"/>
  <c r="AT130" i="61"/>
  <c r="AS130" i="61"/>
  <c r="AR130" i="61"/>
  <c r="AQ130" i="61"/>
  <c r="AP130" i="61"/>
  <c r="AO130" i="61"/>
  <c r="AN130" i="61"/>
  <c r="AM130" i="61"/>
  <c r="AL130" i="61"/>
  <c r="BE129" i="61"/>
  <c r="BD129" i="61"/>
  <c r="BC129" i="61"/>
  <c r="BB129" i="61"/>
  <c r="BA129" i="61"/>
  <c r="AZ129" i="61"/>
  <c r="AY129" i="61"/>
  <c r="AX129" i="61"/>
  <c r="AW129" i="61"/>
  <c r="AV129" i="61"/>
  <c r="AU129" i="61"/>
  <c r="AT129" i="61"/>
  <c r="AS129" i="61"/>
  <c r="AR129" i="61"/>
  <c r="AQ129" i="61"/>
  <c r="AP129" i="61"/>
  <c r="AO129" i="61"/>
  <c r="AN129" i="61"/>
  <c r="AM129" i="61"/>
  <c r="AL129" i="61"/>
  <c r="BE128" i="61"/>
  <c r="BD128" i="61"/>
  <c r="BC128" i="61"/>
  <c r="BB128" i="61"/>
  <c r="BA128" i="61"/>
  <c r="AZ128" i="61"/>
  <c r="AY128" i="61"/>
  <c r="AX128" i="61"/>
  <c r="AW128" i="61"/>
  <c r="AV128" i="61"/>
  <c r="AU128" i="61"/>
  <c r="AT128" i="61"/>
  <c r="AS128" i="61"/>
  <c r="AR128" i="61"/>
  <c r="AQ128" i="61"/>
  <c r="AP128" i="61"/>
  <c r="AO128" i="61"/>
  <c r="AN128" i="61"/>
  <c r="AM128" i="61"/>
  <c r="AL128" i="61"/>
  <c r="BE127" i="61"/>
  <c r="BD127" i="61"/>
  <c r="BC127" i="61"/>
  <c r="BB127" i="61"/>
  <c r="BA127" i="61"/>
  <c r="AZ127" i="61"/>
  <c r="AY127" i="61"/>
  <c r="AX127" i="61"/>
  <c r="AW127" i="61"/>
  <c r="AV127" i="61"/>
  <c r="AU127" i="61"/>
  <c r="AT127" i="61"/>
  <c r="AS127" i="61"/>
  <c r="AR127" i="61"/>
  <c r="AQ127" i="61"/>
  <c r="AP127" i="61"/>
  <c r="AO127" i="61"/>
  <c r="AN127" i="61"/>
  <c r="AM127" i="61"/>
  <c r="AL127" i="61"/>
  <c r="BE126" i="61"/>
  <c r="BD126" i="61"/>
  <c r="BC126" i="61"/>
  <c r="BB126" i="61"/>
  <c r="BA126" i="61"/>
  <c r="AZ126" i="61"/>
  <c r="AY126" i="61"/>
  <c r="AX126" i="61"/>
  <c r="AW126" i="61"/>
  <c r="AV126" i="61"/>
  <c r="AU126" i="61"/>
  <c r="AT126" i="61"/>
  <c r="AS126" i="61"/>
  <c r="AR126" i="61"/>
  <c r="AQ126" i="61"/>
  <c r="AP126" i="61"/>
  <c r="AO126" i="61"/>
  <c r="AN126" i="61"/>
  <c r="AM126" i="61"/>
  <c r="AL126" i="61"/>
  <c r="BE125" i="61"/>
  <c r="BD125" i="61"/>
  <c r="BC125" i="61"/>
  <c r="BB125" i="61"/>
  <c r="BA125" i="61"/>
  <c r="AZ125" i="61"/>
  <c r="AY125" i="61"/>
  <c r="AX125" i="61"/>
  <c r="AW125" i="61"/>
  <c r="AV125" i="61"/>
  <c r="AU125" i="61"/>
  <c r="AT125" i="61"/>
  <c r="AS125" i="61"/>
  <c r="AR125" i="61"/>
  <c r="AQ125" i="61"/>
  <c r="AP125" i="61"/>
  <c r="AO125" i="61"/>
  <c r="AN125" i="61"/>
  <c r="AM125" i="61"/>
  <c r="AL125" i="61"/>
  <c r="BE124" i="61"/>
  <c r="BD124" i="61"/>
  <c r="BC124" i="61"/>
  <c r="BB124" i="61"/>
  <c r="BA124" i="61"/>
  <c r="AZ124" i="61"/>
  <c r="AY124" i="61"/>
  <c r="AX124" i="61"/>
  <c r="AW124" i="61"/>
  <c r="AV124" i="61"/>
  <c r="AU124" i="61"/>
  <c r="AT124" i="61"/>
  <c r="AS124" i="61"/>
  <c r="AR124" i="61"/>
  <c r="AQ124" i="61"/>
  <c r="AP124" i="61"/>
  <c r="AO124" i="61"/>
  <c r="AN124" i="61"/>
  <c r="AM124" i="61"/>
  <c r="AL124" i="61"/>
  <c r="BE123" i="61"/>
  <c r="BD123" i="61"/>
  <c r="BC123" i="61"/>
  <c r="BB123" i="61"/>
  <c r="BA123" i="61"/>
  <c r="AZ123" i="61"/>
  <c r="AY123" i="61"/>
  <c r="AX123" i="61"/>
  <c r="AW123" i="61"/>
  <c r="AV123" i="61"/>
  <c r="AU123" i="61"/>
  <c r="AT123" i="61"/>
  <c r="AS123" i="61"/>
  <c r="AR123" i="61"/>
  <c r="AQ123" i="61"/>
  <c r="AP123" i="61"/>
  <c r="AO123" i="61"/>
  <c r="AN123" i="61"/>
  <c r="AM123" i="61"/>
  <c r="AL123" i="61"/>
  <c r="BE122" i="61"/>
  <c r="BD122" i="61"/>
  <c r="BC122" i="61"/>
  <c r="BB122" i="61"/>
  <c r="BA122" i="61"/>
  <c r="AZ122" i="61"/>
  <c r="AY122" i="61"/>
  <c r="AX122" i="61"/>
  <c r="AW122" i="61"/>
  <c r="AV122" i="61"/>
  <c r="AU122" i="61"/>
  <c r="AT122" i="61"/>
  <c r="AS122" i="61"/>
  <c r="AR122" i="61"/>
  <c r="AQ122" i="61"/>
  <c r="AP122" i="61"/>
  <c r="AO122" i="61"/>
  <c r="AN122" i="61"/>
  <c r="AM122" i="61"/>
  <c r="AL122" i="61"/>
  <c r="BE121" i="61"/>
  <c r="BD121" i="61"/>
  <c r="BC121" i="61"/>
  <c r="BB121" i="61"/>
  <c r="BA121" i="61"/>
  <c r="AZ121" i="61"/>
  <c r="AY121" i="61"/>
  <c r="AX121" i="61"/>
  <c r="AW121" i="61"/>
  <c r="AV121" i="61"/>
  <c r="AU121" i="61"/>
  <c r="AT121" i="61"/>
  <c r="AS121" i="61"/>
  <c r="AR121" i="61"/>
  <c r="AQ121" i="61"/>
  <c r="AP121" i="61"/>
  <c r="AO121" i="61"/>
  <c r="AN121" i="61"/>
  <c r="AM121" i="61"/>
  <c r="AL121" i="61"/>
  <c r="BE120" i="61"/>
  <c r="BD120" i="61"/>
  <c r="BC120" i="61"/>
  <c r="BB120" i="61"/>
  <c r="BA120" i="61"/>
  <c r="AZ120" i="61"/>
  <c r="AY120" i="61"/>
  <c r="AX120" i="61"/>
  <c r="AW120" i="61"/>
  <c r="AV120" i="61"/>
  <c r="AU120" i="61"/>
  <c r="AT120" i="61"/>
  <c r="AS120" i="61"/>
  <c r="AR120" i="61"/>
  <c r="AQ120" i="61"/>
  <c r="AP120" i="61"/>
  <c r="AO120" i="61"/>
  <c r="AN120" i="61"/>
  <c r="AM120" i="61"/>
  <c r="AL120" i="61"/>
  <c r="BE119" i="61"/>
  <c r="BD119" i="61"/>
  <c r="BC119" i="61"/>
  <c r="BB119" i="61"/>
  <c r="BA119" i="61"/>
  <c r="AZ119" i="61"/>
  <c r="AY119" i="61"/>
  <c r="AX119" i="61"/>
  <c r="AW119" i="61"/>
  <c r="AV119" i="61"/>
  <c r="AU119" i="61"/>
  <c r="AT119" i="61"/>
  <c r="AS119" i="61"/>
  <c r="AR119" i="61"/>
  <c r="AQ119" i="61"/>
  <c r="AP119" i="61"/>
  <c r="AO119" i="61"/>
  <c r="AN119" i="61"/>
  <c r="AM119" i="61"/>
  <c r="AL119" i="61"/>
  <c r="BE118" i="61"/>
  <c r="BD118" i="61"/>
  <c r="BC118" i="61"/>
  <c r="BB118" i="61"/>
  <c r="BA118" i="61"/>
  <c r="AZ118" i="61"/>
  <c r="AY118" i="61"/>
  <c r="AX118" i="61"/>
  <c r="AW118" i="61"/>
  <c r="AV118" i="61"/>
  <c r="AU118" i="61"/>
  <c r="AT118" i="61"/>
  <c r="AS118" i="61"/>
  <c r="AR118" i="61"/>
  <c r="AQ118" i="61"/>
  <c r="AP118" i="61"/>
  <c r="AO118" i="61"/>
  <c r="AN118" i="61"/>
  <c r="AM118" i="61"/>
  <c r="AL118" i="61"/>
  <c r="BE117" i="61"/>
  <c r="BD117" i="61"/>
  <c r="BC117" i="61"/>
  <c r="BB117" i="61"/>
  <c r="BA117" i="61"/>
  <c r="AZ117" i="61"/>
  <c r="AY117" i="61"/>
  <c r="AX117" i="61"/>
  <c r="AW117" i="61"/>
  <c r="AV117" i="61"/>
  <c r="AU117" i="61"/>
  <c r="AT117" i="61"/>
  <c r="AS117" i="61"/>
  <c r="AR117" i="61"/>
  <c r="AQ117" i="61"/>
  <c r="AP117" i="61"/>
  <c r="AO117" i="61"/>
  <c r="AN117" i="61"/>
  <c r="AM117" i="61"/>
  <c r="AL117" i="61"/>
  <c r="BE116" i="61"/>
  <c r="BD116" i="61"/>
  <c r="BC116" i="61"/>
  <c r="BB116" i="61"/>
  <c r="BA116" i="61"/>
  <c r="AZ116" i="61"/>
  <c r="AY116" i="61"/>
  <c r="AX116" i="61"/>
  <c r="AW116" i="61"/>
  <c r="AV116" i="61"/>
  <c r="AU116" i="61"/>
  <c r="AT116" i="61"/>
  <c r="AS116" i="61"/>
  <c r="AR116" i="61"/>
  <c r="AQ116" i="61"/>
  <c r="AP116" i="61"/>
  <c r="AO116" i="61"/>
  <c r="AN116" i="61"/>
  <c r="AM116" i="61"/>
  <c r="AL116" i="61"/>
  <c r="BE115" i="61"/>
  <c r="BD115" i="61"/>
  <c r="BC115" i="61"/>
  <c r="BB115" i="61"/>
  <c r="BA115" i="61"/>
  <c r="AZ115" i="61"/>
  <c r="AY115" i="61"/>
  <c r="AX115" i="61"/>
  <c r="AW115" i="61"/>
  <c r="AV115" i="61"/>
  <c r="AU115" i="61"/>
  <c r="AT115" i="61"/>
  <c r="AS115" i="61"/>
  <c r="AR115" i="61"/>
  <c r="AQ115" i="61"/>
  <c r="AP115" i="61"/>
  <c r="AO115" i="61"/>
  <c r="AN115" i="61"/>
  <c r="AM115" i="61"/>
  <c r="AL115" i="61"/>
  <c r="BE114" i="61"/>
  <c r="BD114" i="61"/>
  <c r="BC114" i="61"/>
  <c r="BB114" i="61"/>
  <c r="BA114" i="61"/>
  <c r="AZ114" i="61"/>
  <c r="AY114" i="61"/>
  <c r="AX114" i="61"/>
  <c r="AW114" i="61"/>
  <c r="AV114" i="61"/>
  <c r="AU114" i="61"/>
  <c r="AT114" i="61"/>
  <c r="AS114" i="61"/>
  <c r="AR114" i="61"/>
  <c r="AQ114" i="61"/>
  <c r="AP114" i="61"/>
  <c r="AO114" i="61"/>
  <c r="AN114" i="61"/>
  <c r="AM114" i="61"/>
  <c r="AL114" i="61"/>
  <c r="BE113" i="61"/>
  <c r="BD113" i="61"/>
  <c r="BC113" i="61"/>
  <c r="BB113" i="61"/>
  <c r="BA113" i="61"/>
  <c r="AZ113" i="61"/>
  <c r="AY113" i="61"/>
  <c r="AX113" i="61"/>
  <c r="AW113" i="61"/>
  <c r="AV113" i="61"/>
  <c r="AU113" i="61"/>
  <c r="AT113" i="61"/>
  <c r="AS113" i="61"/>
  <c r="AR113" i="61"/>
  <c r="AQ113" i="61"/>
  <c r="AP113" i="61"/>
  <c r="AO113" i="61"/>
  <c r="AN113" i="61"/>
  <c r="AM113" i="61"/>
  <c r="AL113" i="61"/>
  <c r="BE112" i="61"/>
  <c r="BD112" i="61"/>
  <c r="BC112" i="61"/>
  <c r="BB112" i="61"/>
  <c r="BA112" i="61"/>
  <c r="AZ112" i="61"/>
  <c r="AY112" i="61"/>
  <c r="AX112" i="61"/>
  <c r="AW112" i="61"/>
  <c r="AV112" i="61"/>
  <c r="AU112" i="61"/>
  <c r="AT112" i="61"/>
  <c r="AS112" i="61"/>
  <c r="AR112" i="61"/>
  <c r="AQ112" i="61"/>
  <c r="AP112" i="61"/>
  <c r="AO112" i="61"/>
  <c r="AN112" i="61"/>
  <c r="AM112" i="61"/>
  <c r="AL112" i="61"/>
  <c r="BE111" i="61"/>
  <c r="BD111" i="61"/>
  <c r="BC111" i="61"/>
  <c r="BB111" i="61"/>
  <c r="BA111" i="61"/>
  <c r="AZ111" i="61"/>
  <c r="AY111" i="61"/>
  <c r="AX111" i="61"/>
  <c r="AW111" i="61"/>
  <c r="AV111" i="61"/>
  <c r="AU111" i="61"/>
  <c r="AT111" i="61"/>
  <c r="AS111" i="61"/>
  <c r="AR111" i="61"/>
  <c r="AQ111" i="61"/>
  <c r="AP111" i="61"/>
  <c r="AO111" i="61"/>
  <c r="AN111" i="61"/>
  <c r="AM111" i="61"/>
  <c r="AL111" i="61"/>
  <c r="BE110" i="61"/>
  <c r="BD110" i="61"/>
  <c r="BC110" i="61"/>
  <c r="BB110" i="61"/>
  <c r="BA110" i="61"/>
  <c r="AZ110" i="61"/>
  <c r="AY110" i="61"/>
  <c r="AX110" i="61"/>
  <c r="AW110" i="61"/>
  <c r="AV110" i="61"/>
  <c r="AU110" i="61"/>
  <c r="AT110" i="61"/>
  <c r="AS110" i="61"/>
  <c r="AR110" i="61"/>
  <c r="AQ110" i="61"/>
  <c r="AP110" i="61"/>
  <c r="AO110" i="61"/>
  <c r="AN110" i="61"/>
  <c r="AM110" i="61"/>
  <c r="AL110" i="61"/>
  <c r="BE109" i="61"/>
  <c r="BD109" i="61"/>
  <c r="BC109" i="61"/>
  <c r="BB109" i="61"/>
  <c r="BA109" i="61"/>
  <c r="AZ109" i="61"/>
  <c r="AY109" i="61"/>
  <c r="AX109" i="61"/>
  <c r="AW109" i="61"/>
  <c r="AV109" i="61"/>
  <c r="AU109" i="61"/>
  <c r="AT109" i="61"/>
  <c r="AS109" i="61"/>
  <c r="AR109" i="61"/>
  <c r="AQ109" i="61"/>
  <c r="AP109" i="61"/>
  <c r="AO109" i="61"/>
  <c r="AN109" i="61"/>
  <c r="AM109" i="61"/>
  <c r="AL109" i="61"/>
  <c r="BE108" i="61"/>
  <c r="BD108" i="61"/>
  <c r="BC108" i="61"/>
  <c r="BB108" i="61"/>
  <c r="BA108" i="61"/>
  <c r="AZ108" i="61"/>
  <c r="AY108" i="61"/>
  <c r="AX108" i="61"/>
  <c r="AW108" i="61"/>
  <c r="AV108" i="61"/>
  <c r="AU108" i="61"/>
  <c r="AT108" i="61"/>
  <c r="AS108" i="61"/>
  <c r="AR108" i="61"/>
  <c r="AQ108" i="61"/>
  <c r="AP108" i="61"/>
  <c r="AO108" i="61"/>
  <c r="AN108" i="61"/>
  <c r="AM108" i="61"/>
  <c r="AL108" i="61"/>
  <c r="BE107" i="61"/>
  <c r="BD107" i="61"/>
  <c r="BC107" i="61"/>
  <c r="BB107" i="61"/>
  <c r="BA107" i="61"/>
  <c r="AZ107" i="61"/>
  <c r="AY107" i="61"/>
  <c r="AX107" i="61"/>
  <c r="AW107" i="61"/>
  <c r="AV107" i="61"/>
  <c r="AU107" i="61"/>
  <c r="AT107" i="61"/>
  <c r="AS107" i="61"/>
  <c r="AR107" i="61"/>
  <c r="AQ107" i="61"/>
  <c r="AP107" i="61"/>
  <c r="AO107" i="61"/>
  <c r="AN107" i="61"/>
  <c r="AM107" i="61"/>
  <c r="AL107" i="61"/>
  <c r="BE106" i="61"/>
  <c r="BD106" i="61"/>
  <c r="BC106" i="61"/>
  <c r="BB106" i="61"/>
  <c r="BA106" i="61"/>
  <c r="AZ106" i="61"/>
  <c r="AY106" i="61"/>
  <c r="AX106" i="61"/>
  <c r="AW106" i="61"/>
  <c r="AV106" i="61"/>
  <c r="AU106" i="61"/>
  <c r="AT106" i="61"/>
  <c r="AS106" i="61"/>
  <c r="AR106" i="61"/>
  <c r="AQ106" i="61"/>
  <c r="AP106" i="61"/>
  <c r="AO106" i="61"/>
  <c r="AN106" i="61"/>
  <c r="AM106" i="61"/>
  <c r="AL106" i="61"/>
  <c r="BE105" i="61"/>
  <c r="BD105" i="61"/>
  <c r="BC105" i="61"/>
  <c r="BB105" i="61"/>
  <c r="BA105" i="61"/>
  <c r="AZ105" i="61"/>
  <c r="AY105" i="61"/>
  <c r="AX105" i="61"/>
  <c r="AW105" i="61"/>
  <c r="AV105" i="61"/>
  <c r="AU105" i="61"/>
  <c r="AT105" i="61"/>
  <c r="AS105" i="61"/>
  <c r="AR105" i="61"/>
  <c r="AQ105" i="61"/>
  <c r="AP105" i="61"/>
  <c r="AO105" i="61"/>
  <c r="AN105" i="61"/>
  <c r="AM105" i="61"/>
  <c r="AL105" i="61"/>
  <c r="BE104" i="61"/>
  <c r="BD104" i="61"/>
  <c r="BC104" i="61"/>
  <c r="BB104" i="61"/>
  <c r="BA104" i="61"/>
  <c r="AZ104" i="61"/>
  <c r="AY104" i="61"/>
  <c r="AX104" i="61"/>
  <c r="AW104" i="61"/>
  <c r="AV104" i="61"/>
  <c r="AU104" i="61"/>
  <c r="AT104" i="61"/>
  <c r="AS104" i="61"/>
  <c r="AR104" i="61"/>
  <c r="AQ104" i="61"/>
  <c r="AP104" i="61"/>
  <c r="AO104" i="61"/>
  <c r="AN104" i="61"/>
  <c r="AM104" i="61"/>
  <c r="AL104" i="61"/>
  <c r="BE103" i="61"/>
  <c r="BD103" i="61"/>
  <c r="BC103" i="61"/>
  <c r="BB103" i="61"/>
  <c r="BA103" i="61"/>
  <c r="AZ103" i="61"/>
  <c r="AY103" i="61"/>
  <c r="AX103" i="61"/>
  <c r="AW103" i="61"/>
  <c r="AV103" i="61"/>
  <c r="AU103" i="61"/>
  <c r="AT103" i="61"/>
  <c r="AS103" i="61"/>
  <c r="AR103" i="61"/>
  <c r="AQ103" i="61"/>
  <c r="AP103" i="61"/>
  <c r="AO103" i="61"/>
  <c r="AN103" i="61"/>
  <c r="AM103" i="61"/>
  <c r="AL103" i="61"/>
  <c r="BE102" i="61"/>
  <c r="BD102" i="61"/>
  <c r="BC102" i="61"/>
  <c r="BB102" i="61"/>
  <c r="BA102" i="61"/>
  <c r="AZ102" i="61"/>
  <c r="AY102" i="61"/>
  <c r="AX102" i="61"/>
  <c r="AW102" i="61"/>
  <c r="AV102" i="61"/>
  <c r="AU102" i="61"/>
  <c r="AT102" i="61"/>
  <c r="AS102" i="61"/>
  <c r="AR102" i="61"/>
  <c r="AQ102" i="61"/>
  <c r="AP102" i="61"/>
  <c r="AO102" i="61"/>
  <c r="AN102" i="61"/>
  <c r="AM102" i="61"/>
  <c r="AL102" i="61"/>
  <c r="BE101" i="61"/>
  <c r="BD101" i="61"/>
  <c r="BC101" i="61"/>
  <c r="BB101" i="61"/>
  <c r="BA101" i="61"/>
  <c r="AZ101" i="61"/>
  <c r="AY101" i="61"/>
  <c r="AX101" i="61"/>
  <c r="AW101" i="61"/>
  <c r="AV101" i="61"/>
  <c r="AU101" i="61"/>
  <c r="AT101" i="61"/>
  <c r="AS101" i="61"/>
  <c r="AR101" i="61"/>
  <c r="AQ101" i="61"/>
  <c r="AP101" i="61"/>
  <c r="AO101" i="61"/>
  <c r="AN101" i="61"/>
  <c r="AM101" i="61"/>
  <c r="AL101" i="61"/>
  <c r="BE100" i="61"/>
  <c r="BD100" i="61"/>
  <c r="BC100" i="61"/>
  <c r="BB100" i="61"/>
  <c r="BA100" i="61"/>
  <c r="AZ100" i="61"/>
  <c r="AY100" i="61"/>
  <c r="AX100" i="61"/>
  <c r="AW100" i="61"/>
  <c r="AV100" i="61"/>
  <c r="AU100" i="61"/>
  <c r="AT100" i="61"/>
  <c r="AS100" i="61"/>
  <c r="AR100" i="61"/>
  <c r="AQ100" i="61"/>
  <c r="AP100" i="61"/>
  <c r="AO100" i="61"/>
  <c r="AN100" i="61"/>
  <c r="AM100" i="61"/>
  <c r="AL100" i="61"/>
  <c r="BE99" i="61"/>
  <c r="BD99" i="61"/>
  <c r="BC99" i="61"/>
  <c r="BB99" i="61"/>
  <c r="BA99" i="61"/>
  <c r="AZ99" i="61"/>
  <c r="AY99" i="61"/>
  <c r="AX99" i="61"/>
  <c r="AW99" i="61"/>
  <c r="AV99" i="61"/>
  <c r="AU99" i="61"/>
  <c r="AT99" i="61"/>
  <c r="AS99" i="61"/>
  <c r="AR99" i="61"/>
  <c r="AQ99" i="61"/>
  <c r="AP99" i="61"/>
  <c r="AO99" i="61"/>
  <c r="AN99" i="61"/>
  <c r="AM99" i="61"/>
  <c r="AL99" i="61"/>
  <c r="BE98" i="61"/>
  <c r="BD98" i="61"/>
  <c r="BC98" i="61"/>
  <c r="BB98" i="61"/>
  <c r="BA98" i="61"/>
  <c r="AZ98" i="61"/>
  <c r="AY98" i="61"/>
  <c r="AX98" i="61"/>
  <c r="AW98" i="61"/>
  <c r="AV98" i="61"/>
  <c r="AU98" i="61"/>
  <c r="AT98" i="61"/>
  <c r="AS98" i="61"/>
  <c r="AR98" i="61"/>
  <c r="AQ98" i="61"/>
  <c r="AP98" i="61"/>
  <c r="AO98" i="61"/>
  <c r="AN98" i="61"/>
  <c r="AM98" i="61"/>
  <c r="AL98" i="61"/>
  <c r="BE97" i="61"/>
  <c r="BD97" i="61"/>
  <c r="BC97" i="61"/>
  <c r="BB97" i="61"/>
  <c r="BA97" i="61"/>
  <c r="AZ97" i="61"/>
  <c r="AY97" i="61"/>
  <c r="AX97" i="61"/>
  <c r="AW97" i="61"/>
  <c r="AV97" i="61"/>
  <c r="AU97" i="61"/>
  <c r="AT97" i="61"/>
  <c r="AS97" i="61"/>
  <c r="AR97" i="61"/>
  <c r="AQ97" i="61"/>
  <c r="AP97" i="61"/>
  <c r="AO97" i="61"/>
  <c r="AN97" i="61"/>
  <c r="AM97" i="61"/>
  <c r="AL97" i="61"/>
  <c r="BE96" i="61"/>
  <c r="BD96" i="61"/>
  <c r="BC96" i="61"/>
  <c r="BB96" i="61"/>
  <c r="BA96" i="61"/>
  <c r="AZ96" i="61"/>
  <c r="AY96" i="61"/>
  <c r="AX96" i="61"/>
  <c r="AW96" i="61"/>
  <c r="AV96" i="61"/>
  <c r="AU96" i="61"/>
  <c r="AT96" i="61"/>
  <c r="AS96" i="61"/>
  <c r="AR96" i="61"/>
  <c r="AQ96" i="61"/>
  <c r="AP96" i="61"/>
  <c r="AO96" i="61"/>
  <c r="AN96" i="61"/>
  <c r="AM96" i="61"/>
  <c r="AL96" i="61"/>
  <c r="BE95" i="61"/>
  <c r="BD95" i="61"/>
  <c r="BC95" i="61"/>
  <c r="BB95" i="61"/>
  <c r="BA95" i="61"/>
  <c r="AZ95" i="61"/>
  <c r="AY95" i="61"/>
  <c r="AX95" i="61"/>
  <c r="AW95" i="61"/>
  <c r="AV95" i="61"/>
  <c r="AU95" i="61"/>
  <c r="AT95" i="61"/>
  <c r="AS95" i="61"/>
  <c r="AR95" i="61"/>
  <c r="AQ95" i="61"/>
  <c r="AP95" i="61"/>
  <c r="AO95" i="61"/>
  <c r="AN95" i="61"/>
  <c r="AM95" i="61"/>
  <c r="AL95" i="61"/>
  <c r="BE94" i="61"/>
  <c r="BD94" i="61"/>
  <c r="BC94" i="61"/>
  <c r="BB94" i="61"/>
  <c r="BA94" i="61"/>
  <c r="AZ94" i="61"/>
  <c r="AY94" i="61"/>
  <c r="AX94" i="61"/>
  <c r="AW94" i="61"/>
  <c r="AV94" i="61"/>
  <c r="AU94" i="61"/>
  <c r="AT94" i="61"/>
  <c r="AS94" i="61"/>
  <c r="AR94" i="61"/>
  <c r="AQ94" i="61"/>
  <c r="AP94" i="61"/>
  <c r="AO94" i="61"/>
  <c r="AN94" i="61"/>
  <c r="AM94" i="61"/>
  <c r="AL94" i="61"/>
  <c r="BE93" i="61"/>
  <c r="BD93" i="61"/>
  <c r="BC93" i="61"/>
  <c r="BB93" i="61"/>
  <c r="BA93" i="61"/>
  <c r="AZ93" i="61"/>
  <c r="AY93" i="61"/>
  <c r="AX93" i="61"/>
  <c r="AW93" i="61"/>
  <c r="AV93" i="61"/>
  <c r="AU93" i="61"/>
  <c r="AT93" i="61"/>
  <c r="AS93" i="61"/>
  <c r="AR93" i="61"/>
  <c r="AQ93" i="61"/>
  <c r="AP93" i="61"/>
  <c r="AO93" i="61"/>
  <c r="AN93" i="61"/>
  <c r="AM93" i="61"/>
  <c r="AL93" i="61"/>
  <c r="BE92" i="61"/>
  <c r="BD92" i="61"/>
  <c r="BC92" i="61"/>
  <c r="BB92" i="61"/>
  <c r="BA92" i="61"/>
  <c r="AZ92" i="61"/>
  <c r="AY92" i="61"/>
  <c r="AX92" i="61"/>
  <c r="AW92" i="61"/>
  <c r="AV92" i="61"/>
  <c r="AU92" i="61"/>
  <c r="AT92" i="61"/>
  <c r="AS92" i="61"/>
  <c r="AR92" i="61"/>
  <c r="AQ92" i="61"/>
  <c r="AP92" i="61"/>
  <c r="AO92" i="61"/>
  <c r="AN92" i="61"/>
  <c r="AM92" i="61"/>
  <c r="AL92" i="61"/>
  <c r="BE91" i="61"/>
  <c r="BD91" i="61"/>
  <c r="BC91" i="61"/>
  <c r="BB91" i="61"/>
  <c r="BA91" i="61"/>
  <c r="AZ91" i="61"/>
  <c r="AY91" i="61"/>
  <c r="AX91" i="61"/>
  <c r="AW91" i="61"/>
  <c r="AV91" i="61"/>
  <c r="AU91" i="61"/>
  <c r="AT91" i="61"/>
  <c r="AS91" i="61"/>
  <c r="AR91" i="61"/>
  <c r="AQ91" i="61"/>
  <c r="AP91" i="61"/>
  <c r="AO91" i="61"/>
  <c r="AN91" i="61"/>
  <c r="AM91" i="61"/>
  <c r="AL91" i="61"/>
  <c r="BE90" i="61"/>
  <c r="BD90" i="61"/>
  <c r="BC90" i="61"/>
  <c r="BB90" i="61"/>
  <c r="BA90" i="61"/>
  <c r="AZ90" i="61"/>
  <c r="AY90" i="61"/>
  <c r="AX90" i="61"/>
  <c r="AW90" i="61"/>
  <c r="AV90" i="61"/>
  <c r="AU90" i="61"/>
  <c r="AT90" i="61"/>
  <c r="AS90" i="61"/>
  <c r="AR90" i="61"/>
  <c r="AQ90" i="61"/>
  <c r="AP90" i="61"/>
  <c r="AO90" i="61"/>
  <c r="AN90" i="61"/>
  <c r="AM90" i="61"/>
  <c r="AL90" i="61"/>
  <c r="BE89" i="61"/>
  <c r="BD89" i="61"/>
  <c r="BC89" i="61"/>
  <c r="BB89" i="61"/>
  <c r="BA89" i="61"/>
  <c r="AZ89" i="61"/>
  <c r="AY89" i="61"/>
  <c r="AX89" i="61"/>
  <c r="AW89" i="61"/>
  <c r="AV89" i="61"/>
  <c r="AU89" i="61"/>
  <c r="AT89" i="61"/>
  <c r="AS89" i="61"/>
  <c r="AR89" i="61"/>
  <c r="AQ89" i="61"/>
  <c r="AP89" i="61"/>
  <c r="AO89" i="61"/>
  <c r="AN89" i="61"/>
  <c r="AM89" i="61"/>
  <c r="AL89" i="61"/>
  <c r="BE88" i="61"/>
  <c r="BD88" i="61"/>
  <c r="BC88" i="61"/>
  <c r="BB88" i="61"/>
  <c r="BA88" i="61"/>
  <c r="AZ88" i="61"/>
  <c r="AY88" i="61"/>
  <c r="AX88" i="61"/>
  <c r="AW88" i="61"/>
  <c r="AV88" i="61"/>
  <c r="AU88" i="61"/>
  <c r="AT88" i="61"/>
  <c r="AS88" i="61"/>
  <c r="AR88" i="61"/>
  <c r="AQ88" i="61"/>
  <c r="AP88" i="61"/>
  <c r="AO88" i="61"/>
  <c r="AN88" i="61"/>
  <c r="AM88" i="61"/>
  <c r="AL88" i="61"/>
  <c r="BE87" i="61"/>
  <c r="BD87" i="61"/>
  <c r="BC87" i="61"/>
  <c r="BB87" i="61"/>
  <c r="BA87" i="61"/>
  <c r="AZ87" i="61"/>
  <c r="AY87" i="61"/>
  <c r="AX87" i="61"/>
  <c r="AW87" i="61"/>
  <c r="AV87" i="61"/>
  <c r="AU87" i="61"/>
  <c r="AT87" i="61"/>
  <c r="AS87" i="61"/>
  <c r="AR87" i="61"/>
  <c r="AQ87" i="61"/>
  <c r="AP87" i="61"/>
  <c r="AO87" i="61"/>
  <c r="AN87" i="61"/>
  <c r="AM87" i="61"/>
  <c r="AL87" i="61"/>
  <c r="BE86" i="61"/>
  <c r="BD86" i="61"/>
  <c r="BC86" i="61"/>
  <c r="BB86" i="61"/>
  <c r="BA86" i="61"/>
  <c r="AZ86" i="61"/>
  <c r="AY86" i="61"/>
  <c r="AX86" i="61"/>
  <c r="AW86" i="61"/>
  <c r="AV86" i="61"/>
  <c r="AU86" i="61"/>
  <c r="AT86" i="61"/>
  <c r="AS86" i="61"/>
  <c r="AR86" i="61"/>
  <c r="AQ86" i="61"/>
  <c r="AP86" i="61"/>
  <c r="AO86" i="61"/>
  <c r="AN86" i="61"/>
  <c r="AM86" i="61"/>
  <c r="AL86" i="61"/>
  <c r="BE85" i="61"/>
  <c r="BD85" i="61"/>
  <c r="BC85" i="61"/>
  <c r="BB85" i="61"/>
  <c r="BA85" i="61"/>
  <c r="AZ85" i="61"/>
  <c r="AY85" i="61"/>
  <c r="AX85" i="61"/>
  <c r="AW85" i="61"/>
  <c r="AV85" i="61"/>
  <c r="AU85" i="61"/>
  <c r="AT85" i="61"/>
  <c r="AS85" i="61"/>
  <c r="AR85" i="61"/>
  <c r="AQ85" i="61"/>
  <c r="AP85" i="61"/>
  <c r="AO85" i="61"/>
  <c r="AN85" i="61"/>
  <c r="AM85" i="61"/>
  <c r="AL85" i="61"/>
  <c r="BE84" i="61"/>
  <c r="BD84" i="61"/>
  <c r="BC84" i="61"/>
  <c r="BB84" i="61"/>
  <c r="BA84" i="61"/>
  <c r="AZ84" i="61"/>
  <c r="AY84" i="61"/>
  <c r="AX84" i="61"/>
  <c r="AW84" i="61"/>
  <c r="AV84" i="61"/>
  <c r="AU84" i="61"/>
  <c r="AT84" i="61"/>
  <c r="AS84" i="61"/>
  <c r="AR84" i="61"/>
  <c r="AQ84" i="61"/>
  <c r="AP84" i="61"/>
  <c r="AO84" i="61"/>
  <c r="AN84" i="61"/>
  <c r="AM84" i="61"/>
  <c r="AL84" i="61"/>
  <c r="BE83" i="61"/>
  <c r="BD83" i="61"/>
  <c r="BC83" i="61"/>
  <c r="BB83" i="61"/>
  <c r="BA83" i="61"/>
  <c r="AZ83" i="61"/>
  <c r="AY83" i="61"/>
  <c r="AX83" i="61"/>
  <c r="AW83" i="61"/>
  <c r="AV83" i="61"/>
  <c r="AU83" i="61"/>
  <c r="AT83" i="61"/>
  <c r="AS83" i="61"/>
  <c r="AR83" i="61"/>
  <c r="AQ83" i="61"/>
  <c r="AP83" i="61"/>
  <c r="AO83" i="61"/>
  <c r="AN83" i="61"/>
  <c r="AM83" i="61"/>
  <c r="AL83" i="61"/>
  <c r="BE82" i="61"/>
  <c r="BD82" i="61"/>
  <c r="BC82" i="61"/>
  <c r="BB82" i="61"/>
  <c r="BA82" i="61"/>
  <c r="AZ82" i="61"/>
  <c r="AY82" i="61"/>
  <c r="AX82" i="61"/>
  <c r="AW82" i="61"/>
  <c r="AV82" i="61"/>
  <c r="AU82" i="61"/>
  <c r="AT82" i="61"/>
  <c r="AS82" i="61"/>
  <c r="AR82" i="61"/>
  <c r="AQ82" i="61"/>
  <c r="AP82" i="61"/>
  <c r="AO82" i="61"/>
  <c r="AN82" i="61"/>
  <c r="AM82" i="61"/>
  <c r="AL82" i="61"/>
  <c r="BE81" i="61"/>
  <c r="BD81" i="61"/>
  <c r="BC81" i="61"/>
  <c r="BB81" i="61"/>
  <c r="BA81" i="61"/>
  <c r="AZ81" i="61"/>
  <c r="AY81" i="61"/>
  <c r="AX81" i="61"/>
  <c r="AW81" i="61"/>
  <c r="AV81" i="61"/>
  <c r="AU81" i="61"/>
  <c r="AT81" i="61"/>
  <c r="AS81" i="61"/>
  <c r="AR81" i="61"/>
  <c r="AQ81" i="61"/>
  <c r="AP81" i="61"/>
  <c r="AO81" i="61"/>
  <c r="AN81" i="61"/>
  <c r="AM81" i="61"/>
  <c r="AL81" i="61"/>
  <c r="BE80" i="61"/>
  <c r="BD80" i="61"/>
  <c r="BC80" i="61"/>
  <c r="BB80" i="61"/>
  <c r="BA80" i="61"/>
  <c r="AZ80" i="61"/>
  <c r="AY80" i="61"/>
  <c r="AX80" i="61"/>
  <c r="AW80" i="61"/>
  <c r="AV80" i="61"/>
  <c r="AU80" i="61"/>
  <c r="AT80" i="61"/>
  <c r="AS80" i="61"/>
  <c r="AR80" i="61"/>
  <c r="AQ80" i="61"/>
  <c r="AP80" i="61"/>
  <c r="AO80" i="61"/>
  <c r="AN80" i="61"/>
  <c r="AM80" i="61"/>
  <c r="AL80" i="61"/>
  <c r="BE79" i="61"/>
  <c r="BD79" i="61"/>
  <c r="BC79" i="61"/>
  <c r="BB79" i="61"/>
  <c r="BA79" i="61"/>
  <c r="AZ79" i="61"/>
  <c r="AY79" i="61"/>
  <c r="AX79" i="61"/>
  <c r="AW79" i="61"/>
  <c r="AV79" i="61"/>
  <c r="AU79" i="61"/>
  <c r="AT79" i="61"/>
  <c r="AS79" i="61"/>
  <c r="AR79" i="61"/>
  <c r="AQ79" i="61"/>
  <c r="AP79" i="61"/>
  <c r="AO79" i="61"/>
  <c r="AN79" i="61"/>
  <c r="AM79" i="61"/>
  <c r="AL79" i="61"/>
  <c r="BE78" i="61"/>
  <c r="BD78" i="61"/>
  <c r="BC78" i="61"/>
  <c r="BB78" i="61"/>
  <c r="BA78" i="61"/>
  <c r="AZ78" i="61"/>
  <c r="AY78" i="61"/>
  <c r="AX78" i="61"/>
  <c r="AW78" i="61"/>
  <c r="AV78" i="61"/>
  <c r="AU78" i="61"/>
  <c r="AT78" i="61"/>
  <c r="AS78" i="61"/>
  <c r="AR78" i="61"/>
  <c r="AQ78" i="61"/>
  <c r="AP78" i="61"/>
  <c r="AO78" i="61"/>
  <c r="AN78" i="61"/>
  <c r="AM78" i="61"/>
  <c r="AL78" i="61"/>
  <c r="BE77" i="61"/>
  <c r="BD77" i="61"/>
  <c r="BC77" i="61"/>
  <c r="BB77" i="61"/>
  <c r="BA77" i="61"/>
  <c r="AZ77" i="61"/>
  <c r="AY77" i="61"/>
  <c r="AX77" i="61"/>
  <c r="AW77" i="61"/>
  <c r="AV77" i="61"/>
  <c r="AU77" i="61"/>
  <c r="AT77" i="61"/>
  <c r="AS77" i="61"/>
  <c r="AR77" i="61"/>
  <c r="AQ77" i="61"/>
  <c r="AP77" i="61"/>
  <c r="AO77" i="61"/>
  <c r="AN77" i="61"/>
  <c r="AM77" i="61"/>
  <c r="AL77" i="61"/>
  <c r="BE76" i="61"/>
  <c r="BD76" i="61"/>
  <c r="BC76" i="61"/>
  <c r="BB76" i="61"/>
  <c r="BA76" i="61"/>
  <c r="AZ76" i="61"/>
  <c r="AY76" i="61"/>
  <c r="AX76" i="61"/>
  <c r="AW76" i="61"/>
  <c r="AV76" i="61"/>
  <c r="AU76" i="61"/>
  <c r="AT76" i="61"/>
  <c r="AS76" i="61"/>
  <c r="AR76" i="61"/>
  <c r="AQ76" i="61"/>
  <c r="AP76" i="61"/>
  <c r="AO76" i="61"/>
  <c r="AN76" i="61"/>
  <c r="AM76" i="61"/>
  <c r="AL76" i="61"/>
  <c r="BE75" i="61"/>
  <c r="BD75" i="61"/>
  <c r="BC75" i="61"/>
  <c r="BB75" i="61"/>
  <c r="BA75" i="61"/>
  <c r="AZ75" i="61"/>
  <c r="AY75" i="61"/>
  <c r="AX75" i="61"/>
  <c r="AW75" i="61"/>
  <c r="AV75" i="61"/>
  <c r="AU75" i="61"/>
  <c r="AT75" i="61"/>
  <c r="AS75" i="61"/>
  <c r="AR75" i="61"/>
  <c r="AQ75" i="61"/>
  <c r="AP75" i="61"/>
  <c r="AO75" i="61"/>
  <c r="AN75" i="61"/>
  <c r="AM75" i="61"/>
  <c r="AL75" i="61"/>
  <c r="BE74" i="61"/>
  <c r="BD74" i="61"/>
  <c r="BC74" i="61"/>
  <c r="BB74" i="61"/>
  <c r="BA74" i="61"/>
  <c r="AZ74" i="61"/>
  <c r="AY74" i="61"/>
  <c r="AX74" i="61"/>
  <c r="AW74" i="61"/>
  <c r="AV74" i="61"/>
  <c r="AU74" i="61"/>
  <c r="AT74" i="61"/>
  <c r="AS74" i="61"/>
  <c r="AR74" i="61"/>
  <c r="AQ74" i="61"/>
  <c r="AP74" i="61"/>
  <c r="AO74" i="61"/>
  <c r="AN74" i="61"/>
  <c r="AM74" i="61"/>
  <c r="AL74" i="61"/>
  <c r="BE73" i="61"/>
  <c r="BD73" i="61"/>
  <c r="BC73" i="61"/>
  <c r="BB73" i="61"/>
  <c r="BA73" i="61"/>
  <c r="AZ73" i="61"/>
  <c r="AY73" i="61"/>
  <c r="AX73" i="61"/>
  <c r="AW73" i="61"/>
  <c r="AV73" i="61"/>
  <c r="AU73" i="61"/>
  <c r="AT73" i="61"/>
  <c r="AS73" i="61"/>
  <c r="AR73" i="61"/>
  <c r="AQ73" i="61"/>
  <c r="AP73" i="61"/>
  <c r="AO73" i="61"/>
  <c r="AN73" i="61"/>
  <c r="AM73" i="61"/>
  <c r="AL73" i="61"/>
  <c r="BE72" i="61"/>
  <c r="BD72" i="61"/>
  <c r="BC72" i="61"/>
  <c r="BB72" i="61"/>
  <c r="BA72" i="61"/>
  <c r="AZ72" i="61"/>
  <c r="AY72" i="61"/>
  <c r="AX72" i="61"/>
  <c r="AW72" i="61"/>
  <c r="AV72" i="61"/>
  <c r="AU72" i="61"/>
  <c r="AT72" i="61"/>
  <c r="AS72" i="61"/>
  <c r="AR72" i="61"/>
  <c r="AQ72" i="61"/>
  <c r="AP72" i="61"/>
  <c r="AO72" i="61"/>
  <c r="AN72" i="61"/>
  <c r="AM72" i="61"/>
  <c r="AL72" i="61"/>
  <c r="BE71" i="61"/>
  <c r="BD71" i="61"/>
  <c r="BC71" i="61"/>
  <c r="BB71" i="61"/>
  <c r="BA71" i="61"/>
  <c r="AZ71" i="61"/>
  <c r="AY71" i="61"/>
  <c r="AX71" i="61"/>
  <c r="AW71" i="61"/>
  <c r="AV71" i="61"/>
  <c r="AU71" i="61"/>
  <c r="AT71" i="61"/>
  <c r="AS71" i="61"/>
  <c r="AR71" i="61"/>
  <c r="AQ71" i="61"/>
  <c r="AP71" i="61"/>
  <c r="AO71" i="61"/>
  <c r="AN71" i="61"/>
  <c r="AM71" i="61"/>
  <c r="AL71" i="61"/>
  <c r="BE70" i="61"/>
  <c r="BD70" i="61"/>
  <c r="BC70" i="61"/>
  <c r="BB70" i="61"/>
  <c r="BA70" i="61"/>
  <c r="AZ70" i="61"/>
  <c r="AY70" i="61"/>
  <c r="AX70" i="61"/>
  <c r="AW70" i="61"/>
  <c r="AV70" i="61"/>
  <c r="AU70" i="61"/>
  <c r="AT70" i="61"/>
  <c r="AS70" i="61"/>
  <c r="AR70" i="61"/>
  <c r="AQ70" i="61"/>
  <c r="AP70" i="61"/>
  <c r="AO70" i="61"/>
  <c r="AN70" i="61"/>
  <c r="AM70" i="61"/>
  <c r="AL70" i="61"/>
  <c r="BE69" i="61"/>
  <c r="BD69" i="61"/>
  <c r="BC69" i="61"/>
  <c r="BB69" i="61"/>
  <c r="BA69" i="61"/>
  <c r="AZ69" i="61"/>
  <c r="AY69" i="61"/>
  <c r="AX69" i="61"/>
  <c r="AW69" i="61"/>
  <c r="AV69" i="61"/>
  <c r="AU69" i="61"/>
  <c r="AT69" i="61"/>
  <c r="AS69" i="61"/>
  <c r="AR69" i="61"/>
  <c r="AQ69" i="61"/>
  <c r="AP69" i="61"/>
  <c r="AO69" i="61"/>
  <c r="AN69" i="61"/>
  <c r="AM69" i="61"/>
  <c r="AL69" i="61"/>
  <c r="BE68" i="61"/>
  <c r="BD68" i="61"/>
  <c r="BC68" i="61"/>
  <c r="BB68" i="61"/>
  <c r="BA68" i="61"/>
  <c r="AZ68" i="61"/>
  <c r="AY68" i="61"/>
  <c r="AX68" i="61"/>
  <c r="AW68" i="61"/>
  <c r="AV68" i="61"/>
  <c r="AU68" i="61"/>
  <c r="AT68" i="61"/>
  <c r="AS68" i="61"/>
  <c r="AR68" i="61"/>
  <c r="AQ68" i="61"/>
  <c r="AP68" i="61"/>
  <c r="AO68" i="61"/>
  <c r="AN68" i="61"/>
  <c r="AM68" i="61"/>
  <c r="AL68" i="61"/>
  <c r="BE67" i="61"/>
  <c r="BD67" i="61"/>
  <c r="BC67" i="61"/>
  <c r="BB67" i="61"/>
  <c r="BA67" i="61"/>
  <c r="AZ67" i="61"/>
  <c r="AY67" i="61"/>
  <c r="AX67" i="61"/>
  <c r="AW67" i="61"/>
  <c r="AV67" i="61"/>
  <c r="AU67" i="61"/>
  <c r="AT67" i="61"/>
  <c r="AS67" i="61"/>
  <c r="AR67" i="61"/>
  <c r="AQ67" i="61"/>
  <c r="AP67" i="61"/>
  <c r="AO67" i="61"/>
  <c r="AN67" i="61"/>
  <c r="AM67" i="61"/>
  <c r="AL67" i="61"/>
  <c r="BE66" i="61"/>
  <c r="BD66" i="61"/>
  <c r="BC66" i="61"/>
  <c r="BB66" i="61"/>
  <c r="BA66" i="61"/>
  <c r="AZ66" i="61"/>
  <c r="AY66" i="61"/>
  <c r="AX66" i="61"/>
  <c r="AW66" i="61"/>
  <c r="AV66" i="61"/>
  <c r="AU66" i="61"/>
  <c r="AT66" i="61"/>
  <c r="AS66" i="61"/>
  <c r="AR66" i="61"/>
  <c r="AQ66" i="61"/>
  <c r="AP66" i="61"/>
  <c r="AO66" i="61"/>
  <c r="AN66" i="61"/>
  <c r="AM66" i="61"/>
  <c r="AL66" i="61"/>
  <c r="BE65" i="61"/>
  <c r="BD65" i="61"/>
  <c r="BC65" i="61"/>
  <c r="BB65" i="61"/>
  <c r="BA65" i="61"/>
  <c r="AZ65" i="61"/>
  <c r="AY65" i="61"/>
  <c r="AX65" i="61"/>
  <c r="AW65" i="61"/>
  <c r="AV65" i="61"/>
  <c r="AU65" i="61"/>
  <c r="AT65" i="61"/>
  <c r="AS65" i="61"/>
  <c r="AR65" i="61"/>
  <c r="AQ65" i="61"/>
  <c r="AP65" i="61"/>
  <c r="AO65" i="61"/>
  <c r="AN65" i="61"/>
  <c r="AM65" i="61"/>
  <c r="AL65" i="61"/>
  <c r="BE64" i="61"/>
  <c r="BD64" i="61"/>
  <c r="BC64" i="61"/>
  <c r="BB64" i="61"/>
  <c r="BA64" i="61"/>
  <c r="AZ64" i="61"/>
  <c r="AY64" i="61"/>
  <c r="AX64" i="61"/>
  <c r="AW64" i="61"/>
  <c r="AV64" i="61"/>
  <c r="AU64" i="61"/>
  <c r="AT64" i="61"/>
  <c r="AS64" i="61"/>
  <c r="AR64" i="61"/>
  <c r="AQ64" i="61"/>
  <c r="AP64" i="61"/>
  <c r="AO64" i="61"/>
  <c r="AN64" i="61"/>
  <c r="AM64" i="61"/>
  <c r="AL64" i="61"/>
  <c r="BE63" i="61"/>
  <c r="BD63" i="61"/>
  <c r="BC63" i="61"/>
  <c r="BB63" i="61"/>
  <c r="BA63" i="61"/>
  <c r="AZ63" i="61"/>
  <c r="AY63" i="61"/>
  <c r="AX63" i="61"/>
  <c r="AW63" i="61"/>
  <c r="AV63" i="61"/>
  <c r="AU63" i="61"/>
  <c r="AT63" i="61"/>
  <c r="AS63" i="61"/>
  <c r="AR63" i="61"/>
  <c r="AQ63" i="61"/>
  <c r="AP63" i="61"/>
  <c r="AO63" i="61"/>
  <c r="AN63" i="61"/>
  <c r="AM63" i="61"/>
  <c r="AL63" i="61"/>
  <c r="BE62" i="61"/>
  <c r="BD62" i="61"/>
  <c r="BC62" i="61"/>
  <c r="BB62" i="61"/>
  <c r="BA62" i="61"/>
  <c r="AZ62" i="61"/>
  <c r="AY62" i="61"/>
  <c r="AX62" i="61"/>
  <c r="AW62" i="61"/>
  <c r="AV62" i="61"/>
  <c r="AU62" i="61"/>
  <c r="AT62" i="61"/>
  <c r="AS62" i="61"/>
  <c r="AR62" i="61"/>
  <c r="AQ62" i="61"/>
  <c r="AP62" i="61"/>
  <c r="AO62" i="61"/>
  <c r="AN62" i="61"/>
  <c r="AM62" i="61"/>
  <c r="AL62" i="61"/>
  <c r="BE61" i="61"/>
  <c r="BD61" i="61"/>
  <c r="BC61" i="61"/>
  <c r="BB61" i="61"/>
  <c r="BA61" i="61"/>
  <c r="AZ61" i="61"/>
  <c r="AY61" i="61"/>
  <c r="AX61" i="61"/>
  <c r="AW61" i="61"/>
  <c r="AV61" i="61"/>
  <c r="AU61" i="61"/>
  <c r="AT61" i="61"/>
  <c r="AS61" i="61"/>
  <c r="AR61" i="61"/>
  <c r="AQ61" i="61"/>
  <c r="AP61" i="61"/>
  <c r="AO61" i="61"/>
  <c r="AN61" i="61"/>
  <c r="AM61" i="61"/>
  <c r="AL61" i="61"/>
  <c r="BE60" i="61"/>
  <c r="BD60" i="61"/>
  <c r="BC60" i="61"/>
  <c r="BB60" i="61"/>
  <c r="BA60" i="61"/>
  <c r="AZ60" i="61"/>
  <c r="AY60" i="61"/>
  <c r="AX60" i="61"/>
  <c r="AW60" i="61"/>
  <c r="AV60" i="61"/>
  <c r="AU60" i="61"/>
  <c r="AT60" i="61"/>
  <c r="AS60" i="61"/>
  <c r="AR60" i="61"/>
  <c r="AQ60" i="61"/>
  <c r="AP60" i="61"/>
  <c r="AO60" i="61"/>
  <c r="AN60" i="61"/>
  <c r="AM60" i="61"/>
  <c r="AL60" i="61"/>
  <c r="BE59" i="61"/>
  <c r="BD59" i="61"/>
  <c r="BC59" i="61"/>
  <c r="BB59" i="61"/>
  <c r="BA59" i="61"/>
  <c r="AZ59" i="61"/>
  <c r="AY59" i="61"/>
  <c r="AX59" i="61"/>
  <c r="AW59" i="61"/>
  <c r="AV59" i="61"/>
  <c r="AU59" i="61"/>
  <c r="AT59" i="61"/>
  <c r="AS59" i="61"/>
  <c r="AR59" i="61"/>
  <c r="AQ59" i="61"/>
  <c r="AP59" i="61"/>
  <c r="AO59" i="61"/>
  <c r="AN59" i="61"/>
  <c r="AM59" i="61"/>
  <c r="AL59" i="61"/>
  <c r="BE58" i="61"/>
  <c r="BD58" i="61"/>
  <c r="BC58" i="61"/>
  <c r="BB58" i="61"/>
  <c r="BA58" i="61"/>
  <c r="AZ58" i="61"/>
  <c r="AY58" i="61"/>
  <c r="AX58" i="61"/>
  <c r="AW58" i="61"/>
  <c r="AV58" i="61"/>
  <c r="AU58" i="61"/>
  <c r="AT58" i="61"/>
  <c r="AS58" i="61"/>
  <c r="AR58" i="61"/>
  <c r="AQ58" i="61"/>
  <c r="AP58" i="61"/>
  <c r="AO58" i="61"/>
  <c r="AN58" i="61"/>
  <c r="AM58" i="61"/>
  <c r="AL58" i="61"/>
  <c r="BE57" i="61"/>
  <c r="BD57" i="61"/>
  <c r="BC57" i="61"/>
  <c r="BB57" i="61"/>
  <c r="BA57" i="61"/>
  <c r="AZ57" i="61"/>
  <c r="AY57" i="61"/>
  <c r="AX57" i="61"/>
  <c r="AW57" i="61"/>
  <c r="AV57" i="61"/>
  <c r="AU57" i="61"/>
  <c r="AT57" i="61"/>
  <c r="AS57" i="61"/>
  <c r="AR57" i="61"/>
  <c r="AQ57" i="61"/>
  <c r="AP57" i="61"/>
  <c r="AO57" i="61"/>
  <c r="AN57" i="61"/>
  <c r="AM57" i="61"/>
  <c r="AL57" i="61"/>
  <c r="BE56" i="61"/>
  <c r="BD56" i="61"/>
  <c r="BC56" i="61"/>
  <c r="BB56" i="61"/>
  <c r="BA56" i="61"/>
  <c r="AZ56" i="61"/>
  <c r="AY56" i="61"/>
  <c r="AX56" i="61"/>
  <c r="AW56" i="61"/>
  <c r="AV56" i="61"/>
  <c r="AU56" i="61"/>
  <c r="AT56" i="61"/>
  <c r="AS56" i="61"/>
  <c r="AR56" i="61"/>
  <c r="AQ56" i="61"/>
  <c r="AP56" i="61"/>
  <c r="AO56" i="61"/>
  <c r="AN56" i="61"/>
  <c r="AM56" i="61"/>
  <c r="AL56" i="61"/>
  <c r="BE55" i="61"/>
  <c r="BD55" i="61"/>
  <c r="BC55" i="61"/>
  <c r="BB55" i="61"/>
  <c r="BA55" i="61"/>
  <c r="AZ55" i="61"/>
  <c r="AY55" i="61"/>
  <c r="AX55" i="61"/>
  <c r="AW55" i="61"/>
  <c r="AV55" i="61"/>
  <c r="AU55" i="61"/>
  <c r="AT55" i="61"/>
  <c r="AS55" i="61"/>
  <c r="AR55" i="61"/>
  <c r="AQ55" i="61"/>
  <c r="AP55" i="61"/>
  <c r="AO55" i="61"/>
  <c r="AN55" i="61"/>
  <c r="AM55" i="61"/>
  <c r="AL55" i="61"/>
  <c r="BE54" i="61"/>
  <c r="BD54" i="61"/>
  <c r="BC54" i="61"/>
  <c r="BB54" i="61"/>
  <c r="BA54" i="61"/>
  <c r="AZ54" i="61"/>
  <c r="AY54" i="61"/>
  <c r="AX54" i="61"/>
  <c r="AW54" i="61"/>
  <c r="AV54" i="61"/>
  <c r="AU54" i="61"/>
  <c r="AT54" i="61"/>
  <c r="AS54" i="61"/>
  <c r="AR54" i="61"/>
  <c r="AQ54" i="61"/>
  <c r="AP54" i="61"/>
  <c r="AO54" i="61"/>
  <c r="AN54" i="61"/>
  <c r="AM54" i="61"/>
  <c r="AL54" i="61"/>
  <c r="BE53" i="61"/>
  <c r="BD53" i="61"/>
  <c r="BC53" i="61"/>
  <c r="BB53" i="61"/>
  <c r="BA53" i="61"/>
  <c r="AZ53" i="61"/>
  <c r="AY53" i="61"/>
  <c r="AX53" i="61"/>
  <c r="AW53" i="61"/>
  <c r="AV53" i="61"/>
  <c r="AU53" i="61"/>
  <c r="AT53" i="61"/>
  <c r="AS53" i="61"/>
  <c r="AR53" i="61"/>
  <c r="AQ53" i="61"/>
  <c r="AP53" i="61"/>
  <c r="AO53" i="61"/>
  <c r="AN53" i="61"/>
  <c r="AM53" i="61"/>
  <c r="AL53" i="61"/>
  <c r="BE52" i="61"/>
  <c r="BD52" i="61"/>
  <c r="BC52" i="61"/>
  <c r="BB52" i="61"/>
  <c r="BA52" i="61"/>
  <c r="AZ52" i="61"/>
  <c r="AY52" i="61"/>
  <c r="AX52" i="61"/>
  <c r="AW52" i="61"/>
  <c r="AV52" i="61"/>
  <c r="AU52" i="61"/>
  <c r="AT52" i="61"/>
  <c r="AS52" i="61"/>
  <c r="AR52" i="61"/>
  <c r="AQ52" i="61"/>
  <c r="AP52" i="61"/>
  <c r="AO52" i="61"/>
  <c r="AN52" i="61"/>
  <c r="AM52" i="61"/>
  <c r="AL52" i="61"/>
  <c r="BE51" i="61"/>
  <c r="BD51" i="61"/>
  <c r="BC51" i="61"/>
  <c r="BB51" i="61"/>
  <c r="BA51" i="61"/>
  <c r="AZ51" i="61"/>
  <c r="AY51" i="61"/>
  <c r="AX51" i="61"/>
  <c r="AW51" i="61"/>
  <c r="AV51" i="61"/>
  <c r="AU51" i="61"/>
  <c r="AT51" i="61"/>
  <c r="AS51" i="61"/>
  <c r="AR51" i="61"/>
  <c r="AQ51" i="61"/>
  <c r="AP51" i="61"/>
  <c r="AO51" i="61"/>
  <c r="AN51" i="61"/>
  <c r="AM51" i="61"/>
  <c r="AL51" i="61"/>
  <c r="BE50" i="61"/>
  <c r="BD50" i="61"/>
  <c r="BC50" i="61"/>
  <c r="BB50" i="61"/>
  <c r="BA50" i="61"/>
  <c r="AZ50" i="61"/>
  <c r="AY50" i="61"/>
  <c r="AX50" i="61"/>
  <c r="AW50" i="61"/>
  <c r="AV50" i="61"/>
  <c r="AU50" i="61"/>
  <c r="AT50" i="61"/>
  <c r="AS50" i="61"/>
  <c r="AR50" i="61"/>
  <c r="AQ50" i="61"/>
  <c r="AP50" i="61"/>
  <c r="AO50" i="61"/>
  <c r="AN50" i="61"/>
  <c r="AM50" i="61"/>
  <c r="AL50" i="61"/>
  <c r="BE49" i="61"/>
  <c r="BD49" i="61"/>
  <c r="BC49" i="61"/>
  <c r="BB49" i="61"/>
  <c r="BA49" i="61"/>
  <c r="AZ49" i="61"/>
  <c r="AY49" i="61"/>
  <c r="AX49" i="61"/>
  <c r="AW49" i="61"/>
  <c r="AV49" i="61"/>
  <c r="AU49" i="61"/>
  <c r="AT49" i="61"/>
  <c r="AS49" i="61"/>
  <c r="AR49" i="61"/>
  <c r="AQ49" i="61"/>
  <c r="AP49" i="61"/>
  <c r="AO49" i="61"/>
  <c r="AN49" i="61"/>
  <c r="AM49" i="61"/>
  <c r="AL49" i="61"/>
  <c r="BE48" i="61"/>
  <c r="BD48" i="61"/>
  <c r="BC48" i="61"/>
  <c r="BB48" i="61"/>
  <c r="BA48" i="61"/>
  <c r="AZ48" i="61"/>
  <c r="AY48" i="61"/>
  <c r="AX48" i="61"/>
  <c r="AW48" i="61"/>
  <c r="AV48" i="61"/>
  <c r="AU48" i="61"/>
  <c r="AT48" i="61"/>
  <c r="AS48" i="61"/>
  <c r="AR48" i="61"/>
  <c r="AQ48" i="61"/>
  <c r="AP48" i="61"/>
  <c r="AO48" i="61"/>
  <c r="AN48" i="61"/>
  <c r="AM48" i="61"/>
  <c r="AL48" i="61"/>
  <c r="BE47" i="61"/>
  <c r="BD47" i="61"/>
  <c r="BC47" i="61"/>
  <c r="BB47" i="61"/>
  <c r="BA47" i="61"/>
  <c r="AZ47" i="61"/>
  <c r="AY47" i="61"/>
  <c r="AX47" i="61"/>
  <c r="AW47" i="61"/>
  <c r="AV47" i="61"/>
  <c r="AU47" i="61"/>
  <c r="AT47" i="61"/>
  <c r="AS47" i="61"/>
  <c r="AR47" i="61"/>
  <c r="AQ47" i="61"/>
  <c r="AP47" i="61"/>
  <c r="AO47" i="61"/>
  <c r="AN47" i="61"/>
  <c r="AM47" i="61"/>
  <c r="BE147" i="60"/>
  <c r="BD147" i="60"/>
  <c r="BC147" i="60"/>
  <c r="BB147" i="60"/>
  <c r="BA147" i="60"/>
  <c r="AZ147" i="60"/>
  <c r="AY147" i="60"/>
  <c r="AX147" i="60"/>
  <c r="AW147" i="60"/>
  <c r="AV147" i="60"/>
  <c r="AU147" i="60"/>
  <c r="AT147" i="60"/>
  <c r="AS147" i="60"/>
  <c r="AR147" i="60"/>
  <c r="AQ147" i="60"/>
  <c r="AP147" i="60"/>
  <c r="AO147" i="60"/>
  <c r="AN147" i="60"/>
  <c r="AM147" i="60"/>
  <c r="AL147" i="60"/>
  <c r="BE146" i="60"/>
  <c r="BD146" i="60"/>
  <c r="BC146" i="60"/>
  <c r="BB146" i="60"/>
  <c r="BA146" i="60"/>
  <c r="AZ146" i="60"/>
  <c r="AY146" i="60"/>
  <c r="AX146" i="60"/>
  <c r="AW146" i="60"/>
  <c r="AV146" i="60"/>
  <c r="AU146" i="60"/>
  <c r="AT146" i="60"/>
  <c r="AS146" i="60"/>
  <c r="AR146" i="60"/>
  <c r="AQ146" i="60"/>
  <c r="AP146" i="60"/>
  <c r="AO146" i="60"/>
  <c r="AN146" i="60"/>
  <c r="AM146" i="60"/>
  <c r="AL146" i="60"/>
  <c r="BE145" i="60"/>
  <c r="BD145" i="60"/>
  <c r="BC145" i="60"/>
  <c r="BB145" i="60"/>
  <c r="BA145" i="60"/>
  <c r="AZ145" i="60"/>
  <c r="AY145" i="60"/>
  <c r="AX145" i="60"/>
  <c r="AW145" i="60"/>
  <c r="AV145" i="60"/>
  <c r="AU145" i="60"/>
  <c r="AT145" i="60"/>
  <c r="AS145" i="60"/>
  <c r="AR145" i="60"/>
  <c r="AQ145" i="60"/>
  <c r="AP145" i="60"/>
  <c r="AO145" i="60"/>
  <c r="AN145" i="60"/>
  <c r="AM145" i="60"/>
  <c r="AL145" i="60"/>
  <c r="BE144" i="60"/>
  <c r="BD144" i="60"/>
  <c r="BC144" i="60"/>
  <c r="BB144" i="60"/>
  <c r="BA144" i="60"/>
  <c r="AZ144" i="60"/>
  <c r="AY144" i="60"/>
  <c r="AX144" i="60"/>
  <c r="AW144" i="60"/>
  <c r="AV144" i="60"/>
  <c r="AU144" i="60"/>
  <c r="AT144" i="60"/>
  <c r="AS144" i="60"/>
  <c r="AR144" i="60"/>
  <c r="AQ144" i="60"/>
  <c r="AP144" i="60"/>
  <c r="AO144" i="60"/>
  <c r="AN144" i="60"/>
  <c r="AM144" i="60"/>
  <c r="AL144" i="60"/>
  <c r="BE143" i="60"/>
  <c r="BD143" i="60"/>
  <c r="BC143" i="60"/>
  <c r="BB143" i="60"/>
  <c r="BA143" i="60"/>
  <c r="AZ143" i="60"/>
  <c r="AY143" i="60"/>
  <c r="AX143" i="60"/>
  <c r="AW143" i="60"/>
  <c r="AV143" i="60"/>
  <c r="AU143" i="60"/>
  <c r="AT143" i="60"/>
  <c r="AS143" i="60"/>
  <c r="AR143" i="60"/>
  <c r="AQ143" i="60"/>
  <c r="AP143" i="60"/>
  <c r="AO143" i="60"/>
  <c r="AN143" i="60"/>
  <c r="AM143" i="60"/>
  <c r="AL143" i="60"/>
  <c r="BE142" i="60"/>
  <c r="BD142" i="60"/>
  <c r="BC142" i="60"/>
  <c r="BB142" i="60"/>
  <c r="BA142" i="60"/>
  <c r="AZ142" i="60"/>
  <c r="AY142" i="60"/>
  <c r="AX142" i="60"/>
  <c r="AW142" i="60"/>
  <c r="AV142" i="60"/>
  <c r="AU142" i="60"/>
  <c r="AT142" i="60"/>
  <c r="AS142" i="60"/>
  <c r="AR142" i="60"/>
  <c r="AQ142" i="60"/>
  <c r="AP142" i="60"/>
  <c r="AO142" i="60"/>
  <c r="AN142" i="60"/>
  <c r="AM142" i="60"/>
  <c r="AL142" i="60"/>
  <c r="BE141" i="60"/>
  <c r="BD141" i="60"/>
  <c r="BC141" i="60"/>
  <c r="BB141" i="60"/>
  <c r="BA141" i="60"/>
  <c r="AZ141" i="60"/>
  <c r="AY141" i="60"/>
  <c r="AX141" i="60"/>
  <c r="AW141" i="60"/>
  <c r="AV141" i="60"/>
  <c r="AU141" i="60"/>
  <c r="AT141" i="60"/>
  <c r="AS141" i="60"/>
  <c r="AR141" i="60"/>
  <c r="AQ141" i="60"/>
  <c r="AP141" i="60"/>
  <c r="AO141" i="60"/>
  <c r="AN141" i="60"/>
  <c r="AM141" i="60"/>
  <c r="AL141" i="60"/>
  <c r="BE140" i="60"/>
  <c r="BD140" i="60"/>
  <c r="BC140" i="60"/>
  <c r="BB140" i="60"/>
  <c r="BA140" i="60"/>
  <c r="AZ140" i="60"/>
  <c r="AY140" i="60"/>
  <c r="AX140" i="60"/>
  <c r="AW140" i="60"/>
  <c r="AV140" i="60"/>
  <c r="AU140" i="60"/>
  <c r="AT140" i="60"/>
  <c r="AS140" i="60"/>
  <c r="AR140" i="60"/>
  <c r="AQ140" i="60"/>
  <c r="AP140" i="60"/>
  <c r="AO140" i="60"/>
  <c r="AN140" i="60"/>
  <c r="AM140" i="60"/>
  <c r="AL140" i="60"/>
  <c r="BE139" i="60"/>
  <c r="BD139" i="60"/>
  <c r="BC139" i="60"/>
  <c r="BB139" i="60"/>
  <c r="BA139" i="60"/>
  <c r="AZ139" i="60"/>
  <c r="AY139" i="60"/>
  <c r="AX139" i="60"/>
  <c r="AW139" i="60"/>
  <c r="AV139" i="60"/>
  <c r="AU139" i="60"/>
  <c r="AT139" i="60"/>
  <c r="AS139" i="60"/>
  <c r="AR139" i="60"/>
  <c r="AQ139" i="60"/>
  <c r="AP139" i="60"/>
  <c r="AO139" i="60"/>
  <c r="AN139" i="60"/>
  <c r="AM139" i="60"/>
  <c r="AL139" i="60"/>
  <c r="BE138" i="60"/>
  <c r="BD138" i="60"/>
  <c r="BC138" i="60"/>
  <c r="BB138" i="60"/>
  <c r="BA138" i="60"/>
  <c r="AZ138" i="60"/>
  <c r="AY138" i="60"/>
  <c r="AX138" i="60"/>
  <c r="AW138" i="60"/>
  <c r="AV138" i="60"/>
  <c r="AU138" i="60"/>
  <c r="AT138" i="60"/>
  <c r="AS138" i="60"/>
  <c r="AR138" i="60"/>
  <c r="AQ138" i="60"/>
  <c r="AP138" i="60"/>
  <c r="AO138" i="60"/>
  <c r="AN138" i="60"/>
  <c r="AM138" i="60"/>
  <c r="AL138" i="60"/>
  <c r="BE137" i="60"/>
  <c r="BD137" i="60"/>
  <c r="BC137" i="60"/>
  <c r="BB137" i="60"/>
  <c r="BA137" i="60"/>
  <c r="AZ137" i="60"/>
  <c r="AY137" i="60"/>
  <c r="AX137" i="60"/>
  <c r="AW137" i="60"/>
  <c r="AV137" i="60"/>
  <c r="AU137" i="60"/>
  <c r="AT137" i="60"/>
  <c r="AS137" i="60"/>
  <c r="AR137" i="60"/>
  <c r="AQ137" i="60"/>
  <c r="AP137" i="60"/>
  <c r="AO137" i="60"/>
  <c r="AN137" i="60"/>
  <c r="AM137" i="60"/>
  <c r="AL137" i="60"/>
  <c r="BE136" i="60"/>
  <c r="BD136" i="60"/>
  <c r="BC136" i="60"/>
  <c r="BB136" i="60"/>
  <c r="BA136" i="60"/>
  <c r="AZ136" i="60"/>
  <c r="AY136" i="60"/>
  <c r="AX136" i="60"/>
  <c r="AW136" i="60"/>
  <c r="AV136" i="60"/>
  <c r="AU136" i="60"/>
  <c r="AT136" i="60"/>
  <c r="AS136" i="60"/>
  <c r="AR136" i="60"/>
  <c r="AQ136" i="60"/>
  <c r="AP136" i="60"/>
  <c r="AO136" i="60"/>
  <c r="AN136" i="60"/>
  <c r="AM136" i="60"/>
  <c r="AL136" i="60"/>
  <c r="BE135" i="60"/>
  <c r="BD135" i="60"/>
  <c r="BC135" i="60"/>
  <c r="BB135" i="60"/>
  <c r="BA135" i="60"/>
  <c r="AZ135" i="60"/>
  <c r="AY135" i="60"/>
  <c r="AX135" i="60"/>
  <c r="AW135" i="60"/>
  <c r="AV135" i="60"/>
  <c r="AU135" i="60"/>
  <c r="AT135" i="60"/>
  <c r="AS135" i="60"/>
  <c r="AR135" i="60"/>
  <c r="AQ135" i="60"/>
  <c r="AP135" i="60"/>
  <c r="AO135" i="60"/>
  <c r="AN135" i="60"/>
  <c r="AM135" i="60"/>
  <c r="AL135" i="60"/>
  <c r="BE134" i="60"/>
  <c r="BD134" i="60"/>
  <c r="BC134" i="60"/>
  <c r="BB134" i="60"/>
  <c r="BA134" i="60"/>
  <c r="AZ134" i="60"/>
  <c r="AY134" i="60"/>
  <c r="AX134" i="60"/>
  <c r="AW134" i="60"/>
  <c r="AV134" i="60"/>
  <c r="AU134" i="60"/>
  <c r="AT134" i="60"/>
  <c r="AS134" i="60"/>
  <c r="AR134" i="60"/>
  <c r="AQ134" i="60"/>
  <c r="AP134" i="60"/>
  <c r="AO134" i="60"/>
  <c r="AN134" i="60"/>
  <c r="AM134" i="60"/>
  <c r="AL134" i="60"/>
  <c r="BE133" i="60"/>
  <c r="BD133" i="60"/>
  <c r="BC133" i="60"/>
  <c r="BB133" i="60"/>
  <c r="BA133" i="60"/>
  <c r="AZ133" i="60"/>
  <c r="AY133" i="60"/>
  <c r="AX133" i="60"/>
  <c r="AW133" i="60"/>
  <c r="AV133" i="60"/>
  <c r="AU133" i="60"/>
  <c r="AT133" i="60"/>
  <c r="AS133" i="60"/>
  <c r="AR133" i="60"/>
  <c r="AQ133" i="60"/>
  <c r="AP133" i="60"/>
  <c r="AO133" i="60"/>
  <c r="AN133" i="60"/>
  <c r="AM133" i="60"/>
  <c r="AL133" i="60"/>
  <c r="BE132" i="60"/>
  <c r="BD132" i="60"/>
  <c r="BC132" i="60"/>
  <c r="BB132" i="60"/>
  <c r="BA132" i="60"/>
  <c r="AZ132" i="60"/>
  <c r="AY132" i="60"/>
  <c r="AX132" i="60"/>
  <c r="AW132" i="60"/>
  <c r="AV132" i="60"/>
  <c r="AU132" i="60"/>
  <c r="AT132" i="60"/>
  <c r="AS132" i="60"/>
  <c r="AR132" i="60"/>
  <c r="AQ132" i="60"/>
  <c r="AP132" i="60"/>
  <c r="AO132" i="60"/>
  <c r="AN132" i="60"/>
  <c r="AM132" i="60"/>
  <c r="AL132" i="60"/>
  <c r="BE131" i="60"/>
  <c r="BD131" i="60"/>
  <c r="BC131" i="60"/>
  <c r="BB131" i="60"/>
  <c r="BA131" i="60"/>
  <c r="AZ131" i="60"/>
  <c r="AY131" i="60"/>
  <c r="AX131" i="60"/>
  <c r="AW131" i="60"/>
  <c r="AV131" i="60"/>
  <c r="AU131" i="60"/>
  <c r="AT131" i="60"/>
  <c r="AS131" i="60"/>
  <c r="AR131" i="60"/>
  <c r="AQ131" i="60"/>
  <c r="AP131" i="60"/>
  <c r="AO131" i="60"/>
  <c r="AN131" i="60"/>
  <c r="AM131" i="60"/>
  <c r="AL131" i="60"/>
  <c r="BE130" i="60"/>
  <c r="BD130" i="60"/>
  <c r="BC130" i="60"/>
  <c r="BB130" i="60"/>
  <c r="BA130" i="60"/>
  <c r="AZ130" i="60"/>
  <c r="AY130" i="60"/>
  <c r="AX130" i="60"/>
  <c r="AW130" i="60"/>
  <c r="AV130" i="60"/>
  <c r="AU130" i="60"/>
  <c r="AT130" i="60"/>
  <c r="AS130" i="60"/>
  <c r="AR130" i="60"/>
  <c r="AQ130" i="60"/>
  <c r="AP130" i="60"/>
  <c r="AO130" i="60"/>
  <c r="AN130" i="60"/>
  <c r="AM130" i="60"/>
  <c r="AL130" i="60"/>
  <c r="BE129" i="60"/>
  <c r="BD129" i="60"/>
  <c r="BC129" i="60"/>
  <c r="BB129" i="60"/>
  <c r="BA129" i="60"/>
  <c r="AZ129" i="60"/>
  <c r="AY129" i="60"/>
  <c r="AX129" i="60"/>
  <c r="AW129" i="60"/>
  <c r="AV129" i="60"/>
  <c r="AU129" i="60"/>
  <c r="AT129" i="60"/>
  <c r="AS129" i="60"/>
  <c r="AR129" i="60"/>
  <c r="AQ129" i="60"/>
  <c r="AP129" i="60"/>
  <c r="AO129" i="60"/>
  <c r="AN129" i="60"/>
  <c r="AM129" i="60"/>
  <c r="AL129" i="60"/>
  <c r="BE128" i="60"/>
  <c r="BD128" i="60"/>
  <c r="BC128" i="60"/>
  <c r="BB128" i="60"/>
  <c r="BA128" i="60"/>
  <c r="AZ128" i="60"/>
  <c r="AY128" i="60"/>
  <c r="AX128" i="60"/>
  <c r="AW128" i="60"/>
  <c r="AV128" i="60"/>
  <c r="AU128" i="60"/>
  <c r="AT128" i="60"/>
  <c r="AS128" i="60"/>
  <c r="AR128" i="60"/>
  <c r="AQ128" i="60"/>
  <c r="AP128" i="60"/>
  <c r="AO128" i="60"/>
  <c r="AN128" i="60"/>
  <c r="AM128" i="60"/>
  <c r="AL128" i="60"/>
  <c r="BE127" i="60"/>
  <c r="BD127" i="60"/>
  <c r="BC127" i="60"/>
  <c r="BB127" i="60"/>
  <c r="BA127" i="60"/>
  <c r="AZ127" i="60"/>
  <c r="AY127" i="60"/>
  <c r="AX127" i="60"/>
  <c r="AW127" i="60"/>
  <c r="AV127" i="60"/>
  <c r="AU127" i="60"/>
  <c r="AT127" i="60"/>
  <c r="AS127" i="60"/>
  <c r="AR127" i="60"/>
  <c r="AQ127" i="60"/>
  <c r="AP127" i="60"/>
  <c r="AO127" i="60"/>
  <c r="AN127" i="60"/>
  <c r="AM127" i="60"/>
  <c r="AL127" i="60"/>
  <c r="BE126" i="60"/>
  <c r="BD126" i="60"/>
  <c r="BC126" i="60"/>
  <c r="BB126" i="60"/>
  <c r="BA126" i="60"/>
  <c r="AZ126" i="60"/>
  <c r="AY126" i="60"/>
  <c r="AX126" i="60"/>
  <c r="AW126" i="60"/>
  <c r="AV126" i="60"/>
  <c r="AU126" i="60"/>
  <c r="AT126" i="60"/>
  <c r="AS126" i="60"/>
  <c r="AR126" i="60"/>
  <c r="AQ126" i="60"/>
  <c r="AP126" i="60"/>
  <c r="AO126" i="60"/>
  <c r="AN126" i="60"/>
  <c r="AM126" i="60"/>
  <c r="AL126" i="60"/>
  <c r="BE125" i="60"/>
  <c r="BD125" i="60"/>
  <c r="BC125" i="60"/>
  <c r="BB125" i="60"/>
  <c r="BA125" i="60"/>
  <c r="AZ125" i="60"/>
  <c r="AY125" i="60"/>
  <c r="AX125" i="60"/>
  <c r="AW125" i="60"/>
  <c r="AV125" i="60"/>
  <c r="AU125" i="60"/>
  <c r="AT125" i="60"/>
  <c r="AS125" i="60"/>
  <c r="AR125" i="60"/>
  <c r="AQ125" i="60"/>
  <c r="AP125" i="60"/>
  <c r="AO125" i="60"/>
  <c r="AN125" i="60"/>
  <c r="AM125" i="60"/>
  <c r="AL125" i="60"/>
  <c r="BE124" i="60"/>
  <c r="BD124" i="60"/>
  <c r="BC124" i="60"/>
  <c r="BB124" i="60"/>
  <c r="BA124" i="60"/>
  <c r="AZ124" i="60"/>
  <c r="AY124" i="60"/>
  <c r="AX124" i="60"/>
  <c r="AW124" i="60"/>
  <c r="AV124" i="60"/>
  <c r="AU124" i="60"/>
  <c r="AT124" i="60"/>
  <c r="AS124" i="60"/>
  <c r="AR124" i="60"/>
  <c r="AQ124" i="60"/>
  <c r="AP124" i="60"/>
  <c r="AO124" i="60"/>
  <c r="AN124" i="60"/>
  <c r="AM124" i="60"/>
  <c r="AL124" i="60"/>
  <c r="BE123" i="60"/>
  <c r="BD123" i="60"/>
  <c r="BC123" i="60"/>
  <c r="BB123" i="60"/>
  <c r="BA123" i="60"/>
  <c r="AZ123" i="60"/>
  <c r="AY123" i="60"/>
  <c r="AX123" i="60"/>
  <c r="AW123" i="60"/>
  <c r="AV123" i="60"/>
  <c r="AU123" i="60"/>
  <c r="AT123" i="60"/>
  <c r="AS123" i="60"/>
  <c r="AR123" i="60"/>
  <c r="AQ123" i="60"/>
  <c r="AP123" i="60"/>
  <c r="AO123" i="60"/>
  <c r="AN123" i="60"/>
  <c r="AM123" i="60"/>
  <c r="AL123" i="60"/>
  <c r="BE122" i="60"/>
  <c r="BD122" i="60"/>
  <c r="BC122" i="60"/>
  <c r="BB122" i="60"/>
  <c r="BA122" i="60"/>
  <c r="AZ122" i="60"/>
  <c r="AY122" i="60"/>
  <c r="AX122" i="60"/>
  <c r="AW122" i="60"/>
  <c r="AV122" i="60"/>
  <c r="AU122" i="60"/>
  <c r="AT122" i="60"/>
  <c r="AS122" i="60"/>
  <c r="AR122" i="60"/>
  <c r="AQ122" i="60"/>
  <c r="AP122" i="60"/>
  <c r="AO122" i="60"/>
  <c r="AN122" i="60"/>
  <c r="AM122" i="60"/>
  <c r="AL122" i="60"/>
  <c r="BE121" i="60"/>
  <c r="BD121" i="60"/>
  <c r="BC121" i="60"/>
  <c r="BB121" i="60"/>
  <c r="BA121" i="60"/>
  <c r="AZ121" i="60"/>
  <c r="AY121" i="60"/>
  <c r="AX121" i="60"/>
  <c r="AW121" i="60"/>
  <c r="AV121" i="60"/>
  <c r="AU121" i="60"/>
  <c r="AT121" i="60"/>
  <c r="AS121" i="60"/>
  <c r="AR121" i="60"/>
  <c r="AQ121" i="60"/>
  <c r="AP121" i="60"/>
  <c r="AO121" i="60"/>
  <c r="AN121" i="60"/>
  <c r="AM121" i="60"/>
  <c r="AL121" i="60"/>
  <c r="BE120" i="60"/>
  <c r="BD120" i="60"/>
  <c r="BC120" i="60"/>
  <c r="BB120" i="60"/>
  <c r="BA120" i="60"/>
  <c r="AZ120" i="60"/>
  <c r="AY120" i="60"/>
  <c r="AX120" i="60"/>
  <c r="AW120" i="60"/>
  <c r="AV120" i="60"/>
  <c r="AU120" i="60"/>
  <c r="AT120" i="60"/>
  <c r="AS120" i="60"/>
  <c r="AR120" i="60"/>
  <c r="AQ120" i="60"/>
  <c r="AP120" i="60"/>
  <c r="AO120" i="60"/>
  <c r="AN120" i="60"/>
  <c r="AM120" i="60"/>
  <c r="AL120" i="60"/>
  <c r="BE119" i="60"/>
  <c r="BD119" i="60"/>
  <c r="BC119" i="60"/>
  <c r="BB119" i="60"/>
  <c r="BA119" i="60"/>
  <c r="AZ119" i="60"/>
  <c r="AY119" i="60"/>
  <c r="AX119" i="60"/>
  <c r="AW119" i="60"/>
  <c r="AV119" i="60"/>
  <c r="AU119" i="60"/>
  <c r="AT119" i="60"/>
  <c r="AS119" i="60"/>
  <c r="AR119" i="60"/>
  <c r="AQ119" i="60"/>
  <c r="AP119" i="60"/>
  <c r="AO119" i="60"/>
  <c r="AN119" i="60"/>
  <c r="AM119" i="60"/>
  <c r="AL119" i="60"/>
  <c r="BE118" i="60"/>
  <c r="BD118" i="60"/>
  <c r="BC118" i="60"/>
  <c r="BB118" i="60"/>
  <c r="BA118" i="60"/>
  <c r="AZ118" i="60"/>
  <c r="AY118" i="60"/>
  <c r="AX118" i="60"/>
  <c r="AW118" i="60"/>
  <c r="AV118" i="60"/>
  <c r="AU118" i="60"/>
  <c r="AT118" i="60"/>
  <c r="AS118" i="60"/>
  <c r="AR118" i="60"/>
  <c r="AQ118" i="60"/>
  <c r="AP118" i="60"/>
  <c r="AO118" i="60"/>
  <c r="AN118" i="60"/>
  <c r="AM118" i="60"/>
  <c r="AL118" i="60"/>
  <c r="BE117" i="60"/>
  <c r="BD117" i="60"/>
  <c r="BC117" i="60"/>
  <c r="BB117" i="60"/>
  <c r="BA117" i="60"/>
  <c r="AZ117" i="60"/>
  <c r="AY117" i="60"/>
  <c r="AX117" i="60"/>
  <c r="AW117" i="60"/>
  <c r="AV117" i="60"/>
  <c r="AU117" i="60"/>
  <c r="AT117" i="60"/>
  <c r="AS117" i="60"/>
  <c r="AR117" i="60"/>
  <c r="AQ117" i="60"/>
  <c r="AP117" i="60"/>
  <c r="AO117" i="60"/>
  <c r="AN117" i="60"/>
  <c r="AM117" i="60"/>
  <c r="AL117" i="60"/>
  <c r="BE116" i="60"/>
  <c r="BD116" i="60"/>
  <c r="BC116" i="60"/>
  <c r="BB116" i="60"/>
  <c r="BA116" i="60"/>
  <c r="AZ116" i="60"/>
  <c r="AY116" i="60"/>
  <c r="AX116" i="60"/>
  <c r="AW116" i="60"/>
  <c r="AV116" i="60"/>
  <c r="AU116" i="60"/>
  <c r="AT116" i="60"/>
  <c r="AS116" i="60"/>
  <c r="AR116" i="60"/>
  <c r="AQ116" i="60"/>
  <c r="AP116" i="60"/>
  <c r="AO116" i="60"/>
  <c r="AN116" i="60"/>
  <c r="AM116" i="60"/>
  <c r="AL116" i="60"/>
  <c r="BE115" i="60"/>
  <c r="BD115" i="60"/>
  <c r="BC115" i="60"/>
  <c r="BB115" i="60"/>
  <c r="BA115" i="60"/>
  <c r="AZ115" i="60"/>
  <c r="AY115" i="60"/>
  <c r="AX115" i="60"/>
  <c r="AW115" i="60"/>
  <c r="AV115" i="60"/>
  <c r="AU115" i="60"/>
  <c r="AT115" i="60"/>
  <c r="AS115" i="60"/>
  <c r="AR115" i="60"/>
  <c r="AQ115" i="60"/>
  <c r="AP115" i="60"/>
  <c r="AO115" i="60"/>
  <c r="AN115" i="60"/>
  <c r="AM115" i="60"/>
  <c r="AL115" i="60"/>
  <c r="BE114" i="60"/>
  <c r="BD114" i="60"/>
  <c r="BC114" i="60"/>
  <c r="BB114" i="60"/>
  <c r="BA114" i="60"/>
  <c r="AZ114" i="60"/>
  <c r="AY114" i="60"/>
  <c r="AX114" i="60"/>
  <c r="AW114" i="60"/>
  <c r="AV114" i="60"/>
  <c r="AU114" i="60"/>
  <c r="AT114" i="60"/>
  <c r="AS114" i="60"/>
  <c r="AR114" i="60"/>
  <c r="AQ114" i="60"/>
  <c r="AP114" i="60"/>
  <c r="AO114" i="60"/>
  <c r="AN114" i="60"/>
  <c r="AM114" i="60"/>
  <c r="AL114" i="60"/>
  <c r="BE113" i="60"/>
  <c r="BD113" i="60"/>
  <c r="BC113" i="60"/>
  <c r="BB113" i="60"/>
  <c r="BA113" i="60"/>
  <c r="AZ113" i="60"/>
  <c r="AY113" i="60"/>
  <c r="AX113" i="60"/>
  <c r="AW113" i="60"/>
  <c r="AV113" i="60"/>
  <c r="AU113" i="60"/>
  <c r="AT113" i="60"/>
  <c r="AS113" i="60"/>
  <c r="AR113" i="60"/>
  <c r="AQ113" i="60"/>
  <c r="AP113" i="60"/>
  <c r="AO113" i="60"/>
  <c r="AN113" i="60"/>
  <c r="AM113" i="60"/>
  <c r="AL113" i="60"/>
  <c r="BE112" i="60"/>
  <c r="BD112" i="60"/>
  <c r="BC112" i="60"/>
  <c r="BB112" i="60"/>
  <c r="BA112" i="60"/>
  <c r="AZ112" i="60"/>
  <c r="AY112" i="60"/>
  <c r="AX112" i="60"/>
  <c r="AW112" i="60"/>
  <c r="AV112" i="60"/>
  <c r="AU112" i="60"/>
  <c r="AT112" i="60"/>
  <c r="AS112" i="60"/>
  <c r="AR112" i="60"/>
  <c r="AQ112" i="60"/>
  <c r="AP112" i="60"/>
  <c r="AO112" i="60"/>
  <c r="AN112" i="60"/>
  <c r="AM112" i="60"/>
  <c r="AL112" i="60"/>
  <c r="BE111" i="60"/>
  <c r="BD111" i="60"/>
  <c r="BC111" i="60"/>
  <c r="BB111" i="60"/>
  <c r="BA111" i="60"/>
  <c r="AZ111" i="60"/>
  <c r="AY111" i="60"/>
  <c r="AX111" i="60"/>
  <c r="AW111" i="60"/>
  <c r="AV111" i="60"/>
  <c r="AU111" i="60"/>
  <c r="AT111" i="60"/>
  <c r="AS111" i="60"/>
  <c r="AR111" i="60"/>
  <c r="AQ111" i="60"/>
  <c r="AP111" i="60"/>
  <c r="AO111" i="60"/>
  <c r="AN111" i="60"/>
  <c r="AM111" i="60"/>
  <c r="AL111" i="60"/>
  <c r="BE110" i="60"/>
  <c r="BD110" i="60"/>
  <c r="BC110" i="60"/>
  <c r="BB110" i="60"/>
  <c r="BA110" i="60"/>
  <c r="AZ110" i="60"/>
  <c r="AY110" i="60"/>
  <c r="AX110" i="60"/>
  <c r="AW110" i="60"/>
  <c r="AV110" i="60"/>
  <c r="AU110" i="60"/>
  <c r="AT110" i="60"/>
  <c r="AS110" i="60"/>
  <c r="AR110" i="60"/>
  <c r="AQ110" i="60"/>
  <c r="AP110" i="60"/>
  <c r="AO110" i="60"/>
  <c r="AN110" i="60"/>
  <c r="AM110" i="60"/>
  <c r="AL110" i="60"/>
  <c r="BE109" i="60"/>
  <c r="BD109" i="60"/>
  <c r="BC109" i="60"/>
  <c r="BB109" i="60"/>
  <c r="BA109" i="60"/>
  <c r="AZ109" i="60"/>
  <c r="AY109" i="60"/>
  <c r="AX109" i="60"/>
  <c r="AW109" i="60"/>
  <c r="AV109" i="60"/>
  <c r="AU109" i="60"/>
  <c r="AT109" i="60"/>
  <c r="AS109" i="60"/>
  <c r="AR109" i="60"/>
  <c r="AQ109" i="60"/>
  <c r="AP109" i="60"/>
  <c r="AO109" i="60"/>
  <c r="AN109" i="60"/>
  <c r="AM109" i="60"/>
  <c r="AL109" i="60"/>
  <c r="BE108" i="60"/>
  <c r="BD108" i="60"/>
  <c r="BC108" i="60"/>
  <c r="BB108" i="60"/>
  <c r="BA108" i="60"/>
  <c r="AZ108" i="60"/>
  <c r="AY108" i="60"/>
  <c r="AX108" i="60"/>
  <c r="AW108" i="60"/>
  <c r="AV108" i="60"/>
  <c r="AU108" i="60"/>
  <c r="AT108" i="60"/>
  <c r="AS108" i="60"/>
  <c r="AR108" i="60"/>
  <c r="AQ108" i="60"/>
  <c r="AP108" i="60"/>
  <c r="AO108" i="60"/>
  <c r="AN108" i="60"/>
  <c r="AM108" i="60"/>
  <c r="AL108" i="60"/>
  <c r="BE107" i="60"/>
  <c r="BD107" i="60"/>
  <c r="BC107" i="60"/>
  <c r="BB107" i="60"/>
  <c r="BA107" i="60"/>
  <c r="AZ107" i="60"/>
  <c r="AY107" i="60"/>
  <c r="AX107" i="60"/>
  <c r="AW107" i="60"/>
  <c r="AV107" i="60"/>
  <c r="AU107" i="60"/>
  <c r="AT107" i="60"/>
  <c r="AS107" i="60"/>
  <c r="AR107" i="60"/>
  <c r="AQ107" i="60"/>
  <c r="AP107" i="60"/>
  <c r="AO107" i="60"/>
  <c r="AN107" i="60"/>
  <c r="AM107" i="60"/>
  <c r="AL107" i="60"/>
  <c r="BE106" i="60"/>
  <c r="BD106" i="60"/>
  <c r="BC106" i="60"/>
  <c r="BB106" i="60"/>
  <c r="BA106" i="60"/>
  <c r="AZ106" i="60"/>
  <c r="AY106" i="60"/>
  <c r="AX106" i="60"/>
  <c r="AW106" i="60"/>
  <c r="AV106" i="60"/>
  <c r="AU106" i="60"/>
  <c r="AT106" i="60"/>
  <c r="AS106" i="60"/>
  <c r="AR106" i="60"/>
  <c r="AQ106" i="60"/>
  <c r="AP106" i="60"/>
  <c r="AO106" i="60"/>
  <c r="AN106" i="60"/>
  <c r="AM106" i="60"/>
  <c r="AL106" i="60"/>
  <c r="BE105" i="60"/>
  <c r="BD105" i="60"/>
  <c r="BC105" i="60"/>
  <c r="BB105" i="60"/>
  <c r="BA105" i="60"/>
  <c r="AZ105" i="60"/>
  <c r="AY105" i="60"/>
  <c r="AX105" i="60"/>
  <c r="AW105" i="60"/>
  <c r="AV105" i="60"/>
  <c r="AU105" i="60"/>
  <c r="AT105" i="60"/>
  <c r="AS105" i="60"/>
  <c r="AR105" i="60"/>
  <c r="AQ105" i="60"/>
  <c r="AP105" i="60"/>
  <c r="AO105" i="60"/>
  <c r="AN105" i="60"/>
  <c r="AM105" i="60"/>
  <c r="AL105" i="60"/>
  <c r="BE104" i="60"/>
  <c r="BD104" i="60"/>
  <c r="BC104" i="60"/>
  <c r="BB104" i="60"/>
  <c r="BA104" i="60"/>
  <c r="AZ104" i="60"/>
  <c r="AY104" i="60"/>
  <c r="AX104" i="60"/>
  <c r="AW104" i="60"/>
  <c r="AV104" i="60"/>
  <c r="AU104" i="60"/>
  <c r="AT104" i="60"/>
  <c r="AS104" i="60"/>
  <c r="AR104" i="60"/>
  <c r="AQ104" i="60"/>
  <c r="AP104" i="60"/>
  <c r="AO104" i="60"/>
  <c r="AN104" i="60"/>
  <c r="AM104" i="60"/>
  <c r="AL104" i="60"/>
  <c r="BE103" i="60"/>
  <c r="BD103" i="60"/>
  <c r="BC103" i="60"/>
  <c r="BB103" i="60"/>
  <c r="BA103" i="60"/>
  <c r="AZ103" i="60"/>
  <c r="AY103" i="60"/>
  <c r="AX103" i="60"/>
  <c r="AW103" i="60"/>
  <c r="AV103" i="60"/>
  <c r="AU103" i="60"/>
  <c r="AT103" i="60"/>
  <c r="AS103" i="60"/>
  <c r="AR103" i="60"/>
  <c r="AQ103" i="60"/>
  <c r="AP103" i="60"/>
  <c r="AO103" i="60"/>
  <c r="AN103" i="60"/>
  <c r="AM103" i="60"/>
  <c r="AL103" i="60"/>
  <c r="BE102" i="60"/>
  <c r="BD102" i="60"/>
  <c r="BC102" i="60"/>
  <c r="BB102" i="60"/>
  <c r="BA102" i="60"/>
  <c r="AZ102" i="60"/>
  <c r="AY102" i="60"/>
  <c r="AX102" i="60"/>
  <c r="AW102" i="60"/>
  <c r="AV102" i="60"/>
  <c r="AU102" i="60"/>
  <c r="AT102" i="60"/>
  <c r="AS102" i="60"/>
  <c r="AR102" i="60"/>
  <c r="AQ102" i="60"/>
  <c r="AP102" i="60"/>
  <c r="AO102" i="60"/>
  <c r="AN102" i="60"/>
  <c r="AM102" i="60"/>
  <c r="AL102" i="60"/>
  <c r="BE101" i="60"/>
  <c r="BD101" i="60"/>
  <c r="BC101" i="60"/>
  <c r="BB101" i="60"/>
  <c r="BA101" i="60"/>
  <c r="AZ101" i="60"/>
  <c r="AY101" i="60"/>
  <c r="AX101" i="60"/>
  <c r="AW101" i="60"/>
  <c r="AV101" i="60"/>
  <c r="AU101" i="60"/>
  <c r="AT101" i="60"/>
  <c r="AS101" i="60"/>
  <c r="AR101" i="60"/>
  <c r="AQ101" i="60"/>
  <c r="AP101" i="60"/>
  <c r="AO101" i="60"/>
  <c r="AN101" i="60"/>
  <c r="AM101" i="60"/>
  <c r="AL101" i="60"/>
  <c r="BE100" i="60"/>
  <c r="BD100" i="60"/>
  <c r="BC100" i="60"/>
  <c r="BB100" i="60"/>
  <c r="BA100" i="60"/>
  <c r="AZ100" i="60"/>
  <c r="AY100" i="60"/>
  <c r="AX100" i="60"/>
  <c r="AW100" i="60"/>
  <c r="AV100" i="60"/>
  <c r="AU100" i="60"/>
  <c r="AT100" i="60"/>
  <c r="AS100" i="60"/>
  <c r="AR100" i="60"/>
  <c r="AQ100" i="60"/>
  <c r="AP100" i="60"/>
  <c r="AO100" i="60"/>
  <c r="AN100" i="60"/>
  <c r="AM100" i="60"/>
  <c r="AL100" i="60"/>
  <c r="BE99" i="60"/>
  <c r="BD99" i="60"/>
  <c r="BC99" i="60"/>
  <c r="BB99" i="60"/>
  <c r="BA99" i="60"/>
  <c r="AZ99" i="60"/>
  <c r="AY99" i="60"/>
  <c r="AX99" i="60"/>
  <c r="AW99" i="60"/>
  <c r="AV99" i="60"/>
  <c r="AU99" i="60"/>
  <c r="AT99" i="60"/>
  <c r="AS99" i="60"/>
  <c r="AR99" i="60"/>
  <c r="AQ99" i="60"/>
  <c r="AP99" i="60"/>
  <c r="AO99" i="60"/>
  <c r="AN99" i="60"/>
  <c r="AM99" i="60"/>
  <c r="AL99" i="60"/>
  <c r="BE98" i="60"/>
  <c r="BD98" i="60"/>
  <c r="BC98" i="60"/>
  <c r="BB98" i="60"/>
  <c r="BA98" i="60"/>
  <c r="AZ98" i="60"/>
  <c r="AY98" i="60"/>
  <c r="AX98" i="60"/>
  <c r="AW98" i="60"/>
  <c r="AV98" i="60"/>
  <c r="AU98" i="60"/>
  <c r="AT98" i="60"/>
  <c r="AS98" i="60"/>
  <c r="AR98" i="60"/>
  <c r="AQ98" i="60"/>
  <c r="AP98" i="60"/>
  <c r="AO98" i="60"/>
  <c r="AN98" i="60"/>
  <c r="AM98" i="60"/>
  <c r="AL98" i="60"/>
  <c r="BE97" i="60"/>
  <c r="BD97" i="60"/>
  <c r="BC97" i="60"/>
  <c r="BB97" i="60"/>
  <c r="BA97" i="60"/>
  <c r="AZ97" i="60"/>
  <c r="AY97" i="60"/>
  <c r="AX97" i="60"/>
  <c r="AW97" i="60"/>
  <c r="AV97" i="60"/>
  <c r="AU97" i="60"/>
  <c r="AT97" i="60"/>
  <c r="AS97" i="60"/>
  <c r="AR97" i="60"/>
  <c r="AQ97" i="60"/>
  <c r="AP97" i="60"/>
  <c r="AO97" i="60"/>
  <c r="AN97" i="60"/>
  <c r="AM97" i="60"/>
  <c r="AL97" i="60"/>
  <c r="BE96" i="60"/>
  <c r="BD96" i="60"/>
  <c r="BC96" i="60"/>
  <c r="BB96" i="60"/>
  <c r="BA96" i="60"/>
  <c r="AZ96" i="60"/>
  <c r="AY96" i="60"/>
  <c r="AX96" i="60"/>
  <c r="AW96" i="60"/>
  <c r="AV96" i="60"/>
  <c r="AU96" i="60"/>
  <c r="AT96" i="60"/>
  <c r="AS96" i="60"/>
  <c r="AR96" i="60"/>
  <c r="AQ96" i="60"/>
  <c r="AP96" i="60"/>
  <c r="AO96" i="60"/>
  <c r="AN96" i="60"/>
  <c r="AM96" i="60"/>
  <c r="AL96" i="60"/>
  <c r="BE95" i="60"/>
  <c r="BD95" i="60"/>
  <c r="BC95" i="60"/>
  <c r="BB95" i="60"/>
  <c r="BA95" i="60"/>
  <c r="AZ95" i="60"/>
  <c r="AY95" i="60"/>
  <c r="AX95" i="60"/>
  <c r="AW95" i="60"/>
  <c r="AV95" i="60"/>
  <c r="AU95" i="60"/>
  <c r="AT95" i="60"/>
  <c r="AS95" i="60"/>
  <c r="AR95" i="60"/>
  <c r="AQ95" i="60"/>
  <c r="AP95" i="60"/>
  <c r="AO95" i="60"/>
  <c r="AN95" i="60"/>
  <c r="AM95" i="60"/>
  <c r="AL95" i="60"/>
  <c r="BE94" i="60"/>
  <c r="BD94" i="60"/>
  <c r="BC94" i="60"/>
  <c r="BB94" i="60"/>
  <c r="BA94" i="60"/>
  <c r="AZ94" i="60"/>
  <c r="AY94" i="60"/>
  <c r="AX94" i="60"/>
  <c r="AW94" i="60"/>
  <c r="AV94" i="60"/>
  <c r="AU94" i="60"/>
  <c r="AT94" i="60"/>
  <c r="AS94" i="60"/>
  <c r="AR94" i="60"/>
  <c r="AQ94" i="60"/>
  <c r="AP94" i="60"/>
  <c r="AO94" i="60"/>
  <c r="AN94" i="60"/>
  <c r="AM94" i="60"/>
  <c r="AL94" i="60"/>
  <c r="BE93" i="60"/>
  <c r="BD93" i="60"/>
  <c r="BC93" i="60"/>
  <c r="BB93" i="60"/>
  <c r="BA93" i="60"/>
  <c r="AZ93" i="60"/>
  <c r="AY93" i="60"/>
  <c r="AX93" i="60"/>
  <c r="AW93" i="60"/>
  <c r="AV93" i="60"/>
  <c r="AU93" i="60"/>
  <c r="AT93" i="60"/>
  <c r="AS93" i="60"/>
  <c r="AR93" i="60"/>
  <c r="AQ93" i="60"/>
  <c r="AP93" i="60"/>
  <c r="AO93" i="60"/>
  <c r="AN93" i="60"/>
  <c r="AM93" i="60"/>
  <c r="AL93" i="60"/>
  <c r="BE92" i="60"/>
  <c r="BD92" i="60"/>
  <c r="BC92" i="60"/>
  <c r="BB92" i="60"/>
  <c r="BA92" i="60"/>
  <c r="AZ92" i="60"/>
  <c r="AY92" i="60"/>
  <c r="AX92" i="60"/>
  <c r="AW92" i="60"/>
  <c r="AV92" i="60"/>
  <c r="AU92" i="60"/>
  <c r="AT92" i="60"/>
  <c r="AS92" i="60"/>
  <c r="AR92" i="60"/>
  <c r="AQ92" i="60"/>
  <c r="AP92" i="60"/>
  <c r="AO92" i="60"/>
  <c r="AN92" i="60"/>
  <c r="AM92" i="60"/>
  <c r="AL92" i="60"/>
  <c r="BE91" i="60"/>
  <c r="BD91" i="60"/>
  <c r="BC91" i="60"/>
  <c r="BB91" i="60"/>
  <c r="BA91" i="60"/>
  <c r="AZ91" i="60"/>
  <c r="AY91" i="60"/>
  <c r="AX91" i="60"/>
  <c r="AW91" i="60"/>
  <c r="AV91" i="60"/>
  <c r="AU91" i="60"/>
  <c r="AT91" i="60"/>
  <c r="AS91" i="60"/>
  <c r="AR91" i="60"/>
  <c r="AQ91" i="60"/>
  <c r="AP91" i="60"/>
  <c r="AO91" i="60"/>
  <c r="AN91" i="60"/>
  <c r="AM91" i="60"/>
  <c r="AL91" i="60"/>
  <c r="BE90" i="60"/>
  <c r="BD90" i="60"/>
  <c r="BC90" i="60"/>
  <c r="BB90" i="60"/>
  <c r="BA90" i="60"/>
  <c r="AZ90" i="60"/>
  <c r="AY90" i="60"/>
  <c r="AX90" i="60"/>
  <c r="AW90" i="60"/>
  <c r="AV90" i="60"/>
  <c r="AU90" i="60"/>
  <c r="AT90" i="60"/>
  <c r="AS90" i="60"/>
  <c r="AR90" i="60"/>
  <c r="AQ90" i="60"/>
  <c r="AP90" i="60"/>
  <c r="AO90" i="60"/>
  <c r="AN90" i="60"/>
  <c r="AM90" i="60"/>
  <c r="AL90" i="60"/>
  <c r="BE89" i="60"/>
  <c r="BD89" i="60"/>
  <c r="BC89" i="60"/>
  <c r="BB89" i="60"/>
  <c r="BA89" i="60"/>
  <c r="AZ89" i="60"/>
  <c r="AY89" i="60"/>
  <c r="AX89" i="60"/>
  <c r="AW89" i="60"/>
  <c r="AV89" i="60"/>
  <c r="AU89" i="60"/>
  <c r="AT89" i="60"/>
  <c r="AS89" i="60"/>
  <c r="AR89" i="60"/>
  <c r="AQ89" i="60"/>
  <c r="AP89" i="60"/>
  <c r="AO89" i="60"/>
  <c r="AN89" i="60"/>
  <c r="AM89" i="60"/>
  <c r="AL89" i="60"/>
  <c r="BE88" i="60"/>
  <c r="BD88" i="60"/>
  <c r="BC88" i="60"/>
  <c r="BB88" i="60"/>
  <c r="BA88" i="60"/>
  <c r="AZ88" i="60"/>
  <c r="AY88" i="60"/>
  <c r="AX88" i="60"/>
  <c r="AW88" i="60"/>
  <c r="AV88" i="60"/>
  <c r="AU88" i="60"/>
  <c r="AT88" i="60"/>
  <c r="AS88" i="60"/>
  <c r="AR88" i="60"/>
  <c r="AQ88" i="60"/>
  <c r="AP88" i="60"/>
  <c r="AO88" i="60"/>
  <c r="AN88" i="60"/>
  <c r="AM88" i="60"/>
  <c r="AL88" i="60"/>
  <c r="BE87" i="60"/>
  <c r="BD87" i="60"/>
  <c r="BC87" i="60"/>
  <c r="BB87" i="60"/>
  <c r="BA87" i="60"/>
  <c r="AZ87" i="60"/>
  <c r="AY87" i="60"/>
  <c r="AX87" i="60"/>
  <c r="AW87" i="60"/>
  <c r="AV87" i="60"/>
  <c r="AU87" i="60"/>
  <c r="AT87" i="60"/>
  <c r="AS87" i="60"/>
  <c r="AR87" i="60"/>
  <c r="AQ87" i="60"/>
  <c r="AP87" i="60"/>
  <c r="AO87" i="60"/>
  <c r="AN87" i="60"/>
  <c r="AM87" i="60"/>
  <c r="AL87" i="60"/>
  <c r="BE86" i="60"/>
  <c r="BD86" i="60"/>
  <c r="BC86" i="60"/>
  <c r="BB86" i="60"/>
  <c r="BA86" i="60"/>
  <c r="AZ86" i="60"/>
  <c r="AY86" i="60"/>
  <c r="AX86" i="60"/>
  <c r="AW86" i="60"/>
  <c r="AV86" i="60"/>
  <c r="AU86" i="60"/>
  <c r="AT86" i="60"/>
  <c r="AS86" i="60"/>
  <c r="AR86" i="60"/>
  <c r="AQ86" i="60"/>
  <c r="AP86" i="60"/>
  <c r="AO86" i="60"/>
  <c r="AN86" i="60"/>
  <c r="AM86" i="60"/>
  <c r="AL86" i="60"/>
  <c r="BE85" i="60"/>
  <c r="BD85" i="60"/>
  <c r="BC85" i="60"/>
  <c r="BB85" i="60"/>
  <c r="BA85" i="60"/>
  <c r="AZ85" i="60"/>
  <c r="AY85" i="60"/>
  <c r="AX85" i="60"/>
  <c r="AW85" i="60"/>
  <c r="AV85" i="60"/>
  <c r="AU85" i="60"/>
  <c r="AT85" i="60"/>
  <c r="AS85" i="60"/>
  <c r="AR85" i="60"/>
  <c r="AQ85" i="60"/>
  <c r="AP85" i="60"/>
  <c r="AO85" i="60"/>
  <c r="AN85" i="60"/>
  <c r="AM85" i="60"/>
  <c r="AL85" i="60"/>
  <c r="BE84" i="60"/>
  <c r="BD84" i="60"/>
  <c r="BC84" i="60"/>
  <c r="BB84" i="60"/>
  <c r="BA84" i="60"/>
  <c r="AZ84" i="60"/>
  <c r="AY84" i="60"/>
  <c r="AX84" i="60"/>
  <c r="AW84" i="60"/>
  <c r="AV84" i="60"/>
  <c r="AU84" i="60"/>
  <c r="AT84" i="60"/>
  <c r="AS84" i="60"/>
  <c r="AR84" i="60"/>
  <c r="AQ84" i="60"/>
  <c r="AP84" i="60"/>
  <c r="AO84" i="60"/>
  <c r="AN84" i="60"/>
  <c r="AM84" i="60"/>
  <c r="AL84" i="60"/>
  <c r="BE83" i="60"/>
  <c r="BD83" i="60"/>
  <c r="BC83" i="60"/>
  <c r="BB83" i="60"/>
  <c r="BA83" i="60"/>
  <c r="AZ83" i="60"/>
  <c r="AY83" i="60"/>
  <c r="AX83" i="60"/>
  <c r="AW83" i="60"/>
  <c r="AV83" i="60"/>
  <c r="AU83" i="60"/>
  <c r="AT83" i="60"/>
  <c r="AS83" i="60"/>
  <c r="AR83" i="60"/>
  <c r="AQ83" i="60"/>
  <c r="AP83" i="60"/>
  <c r="AO83" i="60"/>
  <c r="AN83" i="60"/>
  <c r="AM83" i="60"/>
  <c r="AL83" i="60"/>
  <c r="BE82" i="60"/>
  <c r="BD82" i="60"/>
  <c r="BC82" i="60"/>
  <c r="BB82" i="60"/>
  <c r="BA82" i="60"/>
  <c r="AZ82" i="60"/>
  <c r="AY82" i="60"/>
  <c r="AX82" i="60"/>
  <c r="AW82" i="60"/>
  <c r="AV82" i="60"/>
  <c r="AU82" i="60"/>
  <c r="AT82" i="60"/>
  <c r="AS82" i="60"/>
  <c r="AR82" i="60"/>
  <c r="AQ82" i="60"/>
  <c r="AP82" i="60"/>
  <c r="AO82" i="60"/>
  <c r="AN82" i="60"/>
  <c r="AM82" i="60"/>
  <c r="AL82" i="60"/>
  <c r="BE81" i="60"/>
  <c r="BD81" i="60"/>
  <c r="BC81" i="60"/>
  <c r="BB81" i="60"/>
  <c r="BA81" i="60"/>
  <c r="AZ81" i="60"/>
  <c r="AY81" i="60"/>
  <c r="AX81" i="60"/>
  <c r="AW81" i="60"/>
  <c r="AV81" i="60"/>
  <c r="AU81" i="60"/>
  <c r="AT81" i="60"/>
  <c r="AS81" i="60"/>
  <c r="AR81" i="60"/>
  <c r="AQ81" i="60"/>
  <c r="AP81" i="60"/>
  <c r="AO81" i="60"/>
  <c r="AN81" i="60"/>
  <c r="AM81" i="60"/>
  <c r="AL81" i="60"/>
  <c r="BE80" i="60"/>
  <c r="BD80" i="60"/>
  <c r="BC80" i="60"/>
  <c r="BB80" i="60"/>
  <c r="BA80" i="60"/>
  <c r="AZ80" i="60"/>
  <c r="AY80" i="60"/>
  <c r="AX80" i="60"/>
  <c r="AW80" i="60"/>
  <c r="AV80" i="60"/>
  <c r="AU80" i="60"/>
  <c r="AT80" i="60"/>
  <c r="AS80" i="60"/>
  <c r="AR80" i="60"/>
  <c r="AQ80" i="60"/>
  <c r="AP80" i="60"/>
  <c r="AO80" i="60"/>
  <c r="AN80" i="60"/>
  <c r="AM80" i="60"/>
  <c r="AL80" i="60"/>
  <c r="BE79" i="60"/>
  <c r="BD79" i="60"/>
  <c r="BC79" i="60"/>
  <c r="BB79" i="60"/>
  <c r="BA79" i="60"/>
  <c r="AZ79" i="60"/>
  <c r="AY79" i="60"/>
  <c r="AX79" i="60"/>
  <c r="AW79" i="60"/>
  <c r="AV79" i="60"/>
  <c r="AU79" i="60"/>
  <c r="AT79" i="60"/>
  <c r="AS79" i="60"/>
  <c r="AR79" i="60"/>
  <c r="AQ79" i="60"/>
  <c r="AP79" i="60"/>
  <c r="AO79" i="60"/>
  <c r="AN79" i="60"/>
  <c r="AM79" i="60"/>
  <c r="AL79" i="60"/>
  <c r="BE78" i="60"/>
  <c r="BD78" i="60"/>
  <c r="BC78" i="60"/>
  <c r="BB78" i="60"/>
  <c r="BA78" i="60"/>
  <c r="AZ78" i="60"/>
  <c r="AY78" i="60"/>
  <c r="AX78" i="60"/>
  <c r="AW78" i="60"/>
  <c r="AV78" i="60"/>
  <c r="AU78" i="60"/>
  <c r="AT78" i="60"/>
  <c r="AS78" i="60"/>
  <c r="AR78" i="60"/>
  <c r="AQ78" i="60"/>
  <c r="AP78" i="60"/>
  <c r="AO78" i="60"/>
  <c r="AN78" i="60"/>
  <c r="AM78" i="60"/>
  <c r="AL78" i="60"/>
  <c r="BE77" i="60"/>
  <c r="BD77" i="60"/>
  <c r="BC77" i="60"/>
  <c r="BB77" i="60"/>
  <c r="BA77" i="60"/>
  <c r="AZ77" i="60"/>
  <c r="AY77" i="60"/>
  <c r="AX77" i="60"/>
  <c r="AW77" i="60"/>
  <c r="AV77" i="60"/>
  <c r="AU77" i="60"/>
  <c r="AT77" i="60"/>
  <c r="AS77" i="60"/>
  <c r="AR77" i="60"/>
  <c r="AQ77" i="60"/>
  <c r="AP77" i="60"/>
  <c r="AO77" i="60"/>
  <c r="AN77" i="60"/>
  <c r="AM77" i="60"/>
  <c r="AL77" i="60"/>
  <c r="BE76" i="60"/>
  <c r="BD76" i="60"/>
  <c r="BC76" i="60"/>
  <c r="BB76" i="60"/>
  <c r="BA76" i="60"/>
  <c r="AZ76" i="60"/>
  <c r="AY76" i="60"/>
  <c r="AX76" i="60"/>
  <c r="AW76" i="60"/>
  <c r="AV76" i="60"/>
  <c r="AU76" i="60"/>
  <c r="AT76" i="60"/>
  <c r="AS76" i="60"/>
  <c r="AR76" i="60"/>
  <c r="AQ76" i="60"/>
  <c r="AP76" i="60"/>
  <c r="AO76" i="60"/>
  <c r="AN76" i="60"/>
  <c r="AM76" i="60"/>
  <c r="AL76" i="60"/>
  <c r="BE75" i="60"/>
  <c r="BD75" i="60"/>
  <c r="BC75" i="60"/>
  <c r="BB75" i="60"/>
  <c r="BA75" i="60"/>
  <c r="AZ75" i="60"/>
  <c r="AY75" i="60"/>
  <c r="AX75" i="60"/>
  <c r="AW75" i="60"/>
  <c r="AV75" i="60"/>
  <c r="AU75" i="60"/>
  <c r="AT75" i="60"/>
  <c r="AS75" i="60"/>
  <c r="AR75" i="60"/>
  <c r="AQ75" i="60"/>
  <c r="AP75" i="60"/>
  <c r="AO75" i="60"/>
  <c r="AN75" i="60"/>
  <c r="AM75" i="60"/>
  <c r="AL75" i="60"/>
  <c r="BE74" i="60"/>
  <c r="BD74" i="60"/>
  <c r="BC74" i="60"/>
  <c r="BB74" i="60"/>
  <c r="BA74" i="60"/>
  <c r="AZ74" i="60"/>
  <c r="AY74" i="60"/>
  <c r="AX74" i="60"/>
  <c r="AW74" i="60"/>
  <c r="AV74" i="60"/>
  <c r="AU74" i="60"/>
  <c r="AT74" i="60"/>
  <c r="AS74" i="60"/>
  <c r="AR74" i="60"/>
  <c r="AQ74" i="60"/>
  <c r="AP74" i="60"/>
  <c r="AO74" i="60"/>
  <c r="AN74" i="60"/>
  <c r="AM74" i="60"/>
  <c r="AL74" i="60"/>
  <c r="BE73" i="60"/>
  <c r="BD73" i="60"/>
  <c r="BC73" i="60"/>
  <c r="BB73" i="60"/>
  <c r="BA73" i="60"/>
  <c r="AZ73" i="60"/>
  <c r="AY73" i="60"/>
  <c r="AX73" i="60"/>
  <c r="AW73" i="60"/>
  <c r="AV73" i="60"/>
  <c r="AU73" i="60"/>
  <c r="AT73" i="60"/>
  <c r="AS73" i="60"/>
  <c r="AR73" i="60"/>
  <c r="AQ73" i="60"/>
  <c r="AP73" i="60"/>
  <c r="AO73" i="60"/>
  <c r="AN73" i="60"/>
  <c r="AM73" i="60"/>
  <c r="AL73" i="60"/>
  <c r="BE72" i="60"/>
  <c r="BD72" i="60"/>
  <c r="BC72" i="60"/>
  <c r="BB72" i="60"/>
  <c r="BA72" i="60"/>
  <c r="AZ72" i="60"/>
  <c r="AY72" i="60"/>
  <c r="AX72" i="60"/>
  <c r="AW72" i="60"/>
  <c r="AV72" i="60"/>
  <c r="AU72" i="60"/>
  <c r="AT72" i="60"/>
  <c r="AS72" i="60"/>
  <c r="AR72" i="60"/>
  <c r="AQ72" i="60"/>
  <c r="AP72" i="60"/>
  <c r="AO72" i="60"/>
  <c r="AN72" i="60"/>
  <c r="AM72" i="60"/>
  <c r="AL72" i="60"/>
  <c r="BE71" i="60"/>
  <c r="BD71" i="60"/>
  <c r="BC71" i="60"/>
  <c r="BB71" i="60"/>
  <c r="BA71" i="60"/>
  <c r="AZ71" i="60"/>
  <c r="AY71" i="60"/>
  <c r="AX71" i="60"/>
  <c r="AW71" i="60"/>
  <c r="AV71" i="60"/>
  <c r="AU71" i="60"/>
  <c r="AT71" i="60"/>
  <c r="AS71" i="60"/>
  <c r="AR71" i="60"/>
  <c r="AQ71" i="60"/>
  <c r="AP71" i="60"/>
  <c r="AO71" i="60"/>
  <c r="AN71" i="60"/>
  <c r="AM71" i="60"/>
  <c r="AL71" i="60"/>
  <c r="BE70" i="60"/>
  <c r="BD70" i="60"/>
  <c r="BC70" i="60"/>
  <c r="BB70" i="60"/>
  <c r="BA70" i="60"/>
  <c r="AZ70" i="60"/>
  <c r="AY70" i="60"/>
  <c r="AX70" i="60"/>
  <c r="AW70" i="60"/>
  <c r="AV70" i="60"/>
  <c r="AU70" i="60"/>
  <c r="AT70" i="60"/>
  <c r="AS70" i="60"/>
  <c r="AR70" i="60"/>
  <c r="AQ70" i="60"/>
  <c r="AP70" i="60"/>
  <c r="AO70" i="60"/>
  <c r="AN70" i="60"/>
  <c r="AM70" i="60"/>
  <c r="AL70" i="60"/>
  <c r="BE69" i="60"/>
  <c r="BD69" i="60"/>
  <c r="BC69" i="60"/>
  <c r="BB69" i="60"/>
  <c r="BA69" i="60"/>
  <c r="AZ69" i="60"/>
  <c r="AY69" i="60"/>
  <c r="AX69" i="60"/>
  <c r="AW69" i="60"/>
  <c r="AV69" i="60"/>
  <c r="AU69" i="60"/>
  <c r="AT69" i="60"/>
  <c r="AS69" i="60"/>
  <c r="AR69" i="60"/>
  <c r="AQ69" i="60"/>
  <c r="AP69" i="60"/>
  <c r="AO69" i="60"/>
  <c r="AN69" i="60"/>
  <c r="AM69" i="60"/>
  <c r="AL69" i="60"/>
  <c r="BE68" i="60"/>
  <c r="BD68" i="60"/>
  <c r="BC68" i="60"/>
  <c r="BB68" i="60"/>
  <c r="BA68" i="60"/>
  <c r="AZ68" i="60"/>
  <c r="AY68" i="60"/>
  <c r="AX68" i="60"/>
  <c r="AW68" i="60"/>
  <c r="AV68" i="60"/>
  <c r="AU68" i="60"/>
  <c r="AT68" i="60"/>
  <c r="AS68" i="60"/>
  <c r="AR68" i="60"/>
  <c r="AQ68" i="60"/>
  <c r="AP68" i="60"/>
  <c r="AO68" i="60"/>
  <c r="AN68" i="60"/>
  <c r="AM68" i="60"/>
  <c r="AL68" i="60"/>
  <c r="BE67" i="60"/>
  <c r="BD67" i="60"/>
  <c r="BC67" i="60"/>
  <c r="BB67" i="60"/>
  <c r="BA67" i="60"/>
  <c r="AZ67" i="60"/>
  <c r="AY67" i="60"/>
  <c r="AX67" i="60"/>
  <c r="AW67" i="60"/>
  <c r="AV67" i="60"/>
  <c r="AU67" i="60"/>
  <c r="AT67" i="60"/>
  <c r="AS67" i="60"/>
  <c r="AR67" i="60"/>
  <c r="AQ67" i="60"/>
  <c r="AP67" i="60"/>
  <c r="AO67" i="60"/>
  <c r="AN67" i="60"/>
  <c r="AM67" i="60"/>
  <c r="AL67" i="60"/>
  <c r="BE66" i="60"/>
  <c r="BD66" i="60"/>
  <c r="BC66" i="60"/>
  <c r="BB66" i="60"/>
  <c r="BA66" i="60"/>
  <c r="AZ66" i="60"/>
  <c r="AY66" i="60"/>
  <c r="AX66" i="60"/>
  <c r="AW66" i="60"/>
  <c r="AV66" i="60"/>
  <c r="AU66" i="60"/>
  <c r="AT66" i="60"/>
  <c r="AS66" i="60"/>
  <c r="AR66" i="60"/>
  <c r="AQ66" i="60"/>
  <c r="AP66" i="60"/>
  <c r="AO66" i="60"/>
  <c r="AN66" i="60"/>
  <c r="AM66" i="60"/>
  <c r="AL66" i="60"/>
  <c r="BE65" i="60"/>
  <c r="BD65" i="60"/>
  <c r="BC65" i="60"/>
  <c r="BB65" i="60"/>
  <c r="BA65" i="60"/>
  <c r="AZ65" i="60"/>
  <c r="AY65" i="60"/>
  <c r="AX65" i="60"/>
  <c r="AW65" i="60"/>
  <c r="AV65" i="60"/>
  <c r="AU65" i="60"/>
  <c r="AT65" i="60"/>
  <c r="AS65" i="60"/>
  <c r="AR65" i="60"/>
  <c r="AQ65" i="60"/>
  <c r="AP65" i="60"/>
  <c r="AO65" i="60"/>
  <c r="AN65" i="60"/>
  <c r="AM65" i="60"/>
  <c r="AL65" i="60"/>
  <c r="BE64" i="60"/>
  <c r="BD64" i="60"/>
  <c r="BC64" i="60"/>
  <c r="BB64" i="60"/>
  <c r="BA64" i="60"/>
  <c r="AZ64" i="60"/>
  <c r="AY64" i="60"/>
  <c r="AX64" i="60"/>
  <c r="AW64" i="60"/>
  <c r="AV64" i="60"/>
  <c r="AU64" i="60"/>
  <c r="AT64" i="60"/>
  <c r="AS64" i="60"/>
  <c r="AR64" i="60"/>
  <c r="AQ64" i="60"/>
  <c r="AP64" i="60"/>
  <c r="AO64" i="60"/>
  <c r="AN64" i="60"/>
  <c r="AM64" i="60"/>
  <c r="AL64" i="60"/>
  <c r="BE63" i="60"/>
  <c r="BD63" i="60"/>
  <c r="BC63" i="60"/>
  <c r="BB63" i="60"/>
  <c r="BA63" i="60"/>
  <c r="AZ63" i="60"/>
  <c r="AY63" i="60"/>
  <c r="AX63" i="60"/>
  <c r="AW63" i="60"/>
  <c r="AV63" i="60"/>
  <c r="AU63" i="60"/>
  <c r="AT63" i="60"/>
  <c r="AS63" i="60"/>
  <c r="AR63" i="60"/>
  <c r="AQ63" i="60"/>
  <c r="AP63" i="60"/>
  <c r="AO63" i="60"/>
  <c r="AN63" i="60"/>
  <c r="AM63" i="60"/>
  <c r="AL63" i="60"/>
  <c r="BE62" i="60"/>
  <c r="BD62" i="60"/>
  <c r="BC62" i="60"/>
  <c r="BB62" i="60"/>
  <c r="BA62" i="60"/>
  <c r="AZ62" i="60"/>
  <c r="AY62" i="60"/>
  <c r="AX62" i="60"/>
  <c r="AW62" i="60"/>
  <c r="AV62" i="60"/>
  <c r="AU62" i="60"/>
  <c r="AT62" i="60"/>
  <c r="AS62" i="60"/>
  <c r="AR62" i="60"/>
  <c r="AQ62" i="60"/>
  <c r="AP62" i="60"/>
  <c r="AO62" i="60"/>
  <c r="AN62" i="60"/>
  <c r="AM62" i="60"/>
  <c r="AL62" i="60"/>
  <c r="BE61" i="60"/>
  <c r="BD61" i="60"/>
  <c r="BC61" i="60"/>
  <c r="BB61" i="60"/>
  <c r="BA61" i="60"/>
  <c r="AZ61" i="60"/>
  <c r="AY61" i="60"/>
  <c r="AX61" i="60"/>
  <c r="AW61" i="60"/>
  <c r="AV61" i="60"/>
  <c r="AU61" i="60"/>
  <c r="AT61" i="60"/>
  <c r="AS61" i="60"/>
  <c r="AR61" i="60"/>
  <c r="AQ61" i="60"/>
  <c r="AP61" i="60"/>
  <c r="AO61" i="60"/>
  <c r="AN61" i="60"/>
  <c r="AM61" i="60"/>
  <c r="AL61" i="60"/>
  <c r="BE60" i="60"/>
  <c r="BD60" i="60"/>
  <c r="BC60" i="60"/>
  <c r="BB60" i="60"/>
  <c r="BA60" i="60"/>
  <c r="AZ60" i="60"/>
  <c r="AY60" i="60"/>
  <c r="AX60" i="60"/>
  <c r="AW60" i="60"/>
  <c r="AV60" i="60"/>
  <c r="AU60" i="60"/>
  <c r="AT60" i="60"/>
  <c r="AS60" i="60"/>
  <c r="AR60" i="60"/>
  <c r="AQ60" i="60"/>
  <c r="AP60" i="60"/>
  <c r="AO60" i="60"/>
  <c r="AN60" i="60"/>
  <c r="AM60" i="60"/>
  <c r="AL60" i="60"/>
  <c r="BE59" i="60"/>
  <c r="BD59" i="60"/>
  <c r="BC59" i="60"/>
  <c r="BB59" i="60"/>
  <c r="BA59" i="60"/>
  <c r="AZ59" i="60"/>
  <c r="AY59" i="60"/>
  <c r="AX59" i="60"/>
  <c r="AW59" i="60"/>
  <c r="AV59" i="60"/>
  <c r="AU59" i="60"/>
  <c r="AT59" i="60"/>
  <c r="AS59" i="60"/>
  <c r="AR59" i="60"/>
  <c r="AQ59" i="60"/>
  <c r="AP59" i="60"/>
  <c r="AO59" i="60"/>
  <c r="AN59" i="60"/>
  <c r="AM59" i="60"/>
  <c r="AL59" i="60"/>
  <c r="BE58" i="60"/>
  <c r="BD58" i="60"/>
  <c r="BC58" i="60"/>
  <c r="BB58" i="60"/>
  <c r="BA58" i="60"/>
  <c r="AZ58" i="60"/>
  <c r="AY58" i="60"/>
  <c r="AX58" i="60"/>
  <c r="AW58" i="60"/>
  <c r="AV58" i="60"/>
  <c r="AU58" i="60"/>
  <c r="AT58" i="60"/>
  <c r="AS58" i="60"/>
  <c r="AR58" i="60"/>
  <c r="AQ58" i="60"/>
  <c r="AP58" i="60"/>
  <c r="AO58" i="60"/>
  <c r="AN58" i="60"/>
  <c r="AM58" i="60"/>
  <c r="AL58" i="60"/>
  <c r="BE57" i="60"/>
  <c r="BD57" i="60"/>
  <c r="BC57" i="60"/>
  <c r="BB57" i="60"/>
  <c r="BA57" i="60"/>
  <c r="AZ57" i="60"/>
  <c r="AY57" i="60"/>
  <c r="AX57" i="60"/>
  <c r="AW57" i="60"/>
  <c r="AV57" i="60"/>
  <c r="AU57" i="60"/>
  <c r="AT57" i="60"/>
  <c r="AS57" i="60"/>
  <c r="AR57" i="60"/>
  <c r="AQ57" i="60"/>
  <c r="AP57" i="60"/>
  <c r="AO57" i="60"/>
  <c r="AN57" i="60"/>
  <c r="AM57" i="60"/>
  <c r="AL57" i="60"/>
  <c r="BE56" i="60"/>
  <c r="BD56" i="60"/>
  <c r="BC56" i="60"/>
  <c r="BB56" i="60"/>
  <c r="BA56" i="60"/>
  <c r="AZ56" i="60"/>
  <c r="AY56" i="60"/>
  <c r="AX56" i="60"/>
  <c r="AW56" i="60"/>
  <c r="AV56" i="60"/>
  <c r="AU56" i="60"/>
  <c r="AT56" i="60"/>
  <c r="AS56" i="60"/>
  <c r="AR56" i="60"/>
  <c r="AQ56" i="60"/>
  <c r="AP56" i="60"/>
  <c r="AO56" i="60"/>
  <c r="AN56" i="60"/>
  <c r="AM56" i="60"/>
  <c r="AL56" i="60"/>
  <c r="BE55" i="60"/>
  <c r="BD55" i="60"/>
  <c r="BC55" i="60"/>
  <c r="BB55" i="60"/>
  <c r="BA55" i="60"/>
  <c r="AZ55" i="60"/>
  <c r="AY55" i="60"/>
  <c r="AX55" i="60"/>
  <c r="AW55" i="60"/>
  <c r="AV55" i="60"/>
  <c r="AU55" i="60"/>
  <c r="AT55" i="60"/>
  <c r="AS55" i="60"/>
  <c r="AR55" i="60"/>
  <c r="AQ55" i="60"/>
  <c r="AP55" i="60"/>
  <c r="AO55" i="60"/>
  <c r="AN55" i="60"/>
  <c r="AM55" i="60"/>
  <c r="AL55" i="60"/>
  <c r="BE54" i="60"/>
  <c r="BD54" i="60"/>
  <c r="BC54" i="60"/>
  <c r="BB54" i="60"/>
  <c r="BA54" i="60"/>
  <c r="AZ54" i="60"/>
  <c r="AY54" i="60"/>
  <c r="AX54" i="60"/>
  <c r="AW54" i="60"/>
  <c r="AV54" i="60"/>
  <c r="AU54" i="60"/>
  <c r="AT54" i="60"/>
  <c r="AS54" i="60"/>
  <c r="AR54" i="60"/>
  <c r="AQ54" i="60"/>
  <c r="AP54" i="60"/>
  <c r="AO54" i="60"/>
  <c r="AN54" i="60"/>
  <c r="AM54" i="60"/>
  <c r="AL54" i="60"/>
  <c r="BE53" i="60"/>
  <c r="BD53" i="60"/>
  <c r="BC53" i="60"/>
  <c r="BB53" i="60"/>
  <c r="BA53" i="60"/>
  <c r="AZ53" i="60"/>
  <c r="AY53" i="60"/>
  <c r="AX53" i="60"/>
  <c r="AW53" i="60"/>
  <c r="AV53" i="60"/>
  <c r="AU53" i="60"/>
  <c r="AT53" i="60"/>
  <c r="AS53" i="60"/>
  <c r="AR53" i="60"/>
  <c r="AQ53" i="60"/>
  <c r="AP53" i="60"/>
  <c r="AO53" i="60"/>
  <c r="AN53" i="60"/>
  <c r="AM53" i="60"/>
  <c r="AL53" i="60"/>
  <c r="BE52" i="60"/>
  <c r="BD52" i="60"/>
  <c r="BC52" i="60"/>
  <c r="BB52" i="60"/>
  <c r="BA52" i="60"/>
  <c r="AZ52" i="60"/>
  <c r="AY52" i="60"/>
  <c r="AX52" i="60"/>
  <c r="AW52" i="60"/>
  <c r="AV52" i="60"/>
  <c r="AU52" i="60"/>
  <c r="AT52" i="60"/>
  <c r="AS52" i="60"/>
  <c r="AR52" i="60"/>
  <c r="AQ52" i="60"/>
  <c r="AP52" i="60"/>
  <c r="AO52" i="60"/>
  <c r="AN52" i="60"/>
  <c r="AM52" i="60"/>
  <c r="AL52" i="60"/>
  <c r="BE51" i="60"/>
  <c r="BD51" i="60"/>
  <c r="BC51" i="60"/>
  <c r="BB51" i="60"/>
  <c r="BA51" i="60"/>
  <c r="AZ51" i="60"/>
  <c r="AY51" i="60"/>
  <c r="AX51" i="60"/>
  <c r="AW51" i="60"/>
  <c r="AV51" i="60"/>
  <c r="AU51" i="60"/>
  <c r="AT51" i="60"/>
  <c r="AS51" i="60"/>
  <c r="AR51" i="60"/>
  <c r="AQ51" i="60"/>
  <c r="AP51" i="60"/>
  <c r="AO51" i="60"/>
  <c r="AN51" i="60"/>
  <c r="AM51" i="60"/>
  <c r="AL51" i="60"/>
  <c r="BE50" i="60"/>
  <c r="BD50" i="60"/>
  <c r="BC50" i="60"/>
  <c r="BB50" i="60"/>
  <c r="BA50" i="60"/>
  <c r="AZ50" i="60"/>
  <c r="AY50" i="60"/>
  <c r="AX50" i="60"/>
  <c r="AW50" i="60"/>
  <c r="AV50" i="60"/>
  <c r="AU50" i="60"/>
  <c r="AT50" i="60"/>
  <c r="AS50" i="60"/>
  <c r="AR50" i="60"/>
  <c r="AQ50" i="60"/>
  <c r="AP50" i="60"/>
  <c r="AO50" i="60"/>
  <c r="AN50" i="60"/>
  <c r="AM50" i="60"/>
  <c r="AL50" i="60"/>
  <c r="BE49" i="60"/>
  <c r="BD49" i="60"/>
  <c r="BC49" i="60"/>
  <c r="BB49" i="60"/>
  <c r="BA49" i="60"/>
  <c r="AZ49" i="60"/>
  <c r="AY49" i="60"/>
  <c r="AX49" i="60"/>
  <c r="AW49" i="60"/>
  <c r="AV49" i="60"/>
  <c r="AU49" i="60"/>
  <c r="AT49" i="60"/>
  <c r="AS49" i="60"/>
  <c r="AR49" i="60"/>
  <c r="AQ49" i="60"/>
  <c r="AP49" i="60"/>
  <c r="AO49" i="60"/>
  <c r="AN49" i="60"/>
  <c r="AM49" i="60"/>
  <c r="AL49" i="60"/>
  <c r="BE48" i="60"/>
  <c r="BD48" i="60"/>
  <c r="BC48" i="60"/>
  <c r="BB48" i="60"/>
  <c r="BA48" i="60"/>
  <c r="AZ48" i="60"/>
  <c r="AY48" i="60"/>
  <c r="AX48" i="60"/>
  <c r="AW48" i="60"/>
  <c r="AV48" i="60"/>
  <c r="AU48" i="60"/>
  <c r="AT48" i="60"/>
  <c r="AS48" i="60"/>
  <c r="AR48" i="60"/>
  <c r="AQ48" i="60"/>
  <c r="AP48" i="60"/>
  <c r="AO48" i="60"/>
  <c r="AN48" i="60"/>
  <c r="AM48" i="60"/>
  <c r="AL48" i="20"/>
  <c r="BE147" i="20"/>
  <c r="BD147" i="20"/>
  <c r="BC147" i="20"/>
  <c r="BB147" i="20"/>
  <c r="BA147" i="20"/>
  <c r="AZ147" i="20"/>
  <c r="AY147" i="20"/>
  <c r="AX147" i="20"/>
  <c r="AW147" i="20"/>
  <c r="AV147" i="20"/>
  <c r="AU147" i="20"/>
  <c r="AT147" i="20"/>
  <c r="AS147" i="20"/>
  <c r="AR147" i="20"/>
  <c r="AQ147" i="20"/>
  <c r="AP147" i="20"/>
  <c r="AO147" i="20"/>
  <c r="AN147" i="20"/>
  <c r="AM147" i="20"/>
  <c r="AL147" i="20"/>
  <c r="BE146" i="20"/>
  <c r="BD146" i="20"/>
  <c r="BC146" i="20"/>
  <c r="BB146" i="20"/>
  <c r="BA146" i="20"/>
  <c r="AZ146" i="20"/>
  <c r="AY146" i="20"/>
  <c r="AX146" i="20"/>
  <c r="AW146" i="20"/>
  <c r="AV146" i="20"/>
  <c r="AU146" i="20"/>
  <c r="AT146" i="20"/>
  <c r="AS146" i="20"/>
  <c r="AR146" i="20"/>
  <c r="AQ146" i="20"/>
  <c r="AP146" i="20"/>
  <c r="AO146" i="20"/>
  <c r="AN146" i="20"/>
  <c r="AM146" i="20"/>
  <c r="AL146" i="20"/>
  <c r="BE145" i="20"/>
  <c r="BD145" i="20"/>
  <c r="BC145" i="20"/>
  <c r="BB145" i="20"/>
  <c r="BA145" i="20"/>
  <c r="AZ145" i="20"/>
  <c r="AY145" i="20"/>
  <c r="AX145" i="20"/>
  <c r="AW145" i="20"/>
  <c r="AV145" i="20"/>
  <c r="AU145" i="20"/>
  <c r="AT145" i="20"/>
  <c r="AS145" i="20"/>
  <c r="AR145" i="20"/>
  <c r="AQ145" i="20"/>
  <c r="AP145" i="20"/>
  <c r="AO145" i="20"/>
  <c r="AN145" i="20"/>
  <c r="AM145" i="20"/>
  <c r="AL145" i="20"/>
  <c r="BE144" i="20"/>
  <c r="BD144" i="20"/>
  <c r="BC144" i="20"/>
  <c r="BB144" i="20"/>
  <c r="BA144" i="20"/>
  <c r="AZ144" i="20"/>
  <c r="AY144" i="20"/>
  <c r="AX144" i="20"/>
  <c r="AW144" i="20"/>
  <c r="AV144" i="20"/>
  <c r="AU144" i="20"/>
  <c r="AT144" i="20"/>
  <c r="AS144" i="20"/>
  <c r="AR144" i="20"/>
  <c r="AQ144" i="20"/>
  <c r="AP144" i="20"/>
  <c r="AO144" i="20"/>
  <c r="AN144" i="20"/>
  <c r="AM144" i="20"/>
  <c r="AL144" i="20"/>
  <c r="BE143" i="20"/>
  <c r="BD143" i="20"/>
  <c r="BC143" i="20"/>
  <c r="BB143" i="20"/>
  <c r="BA143" i="20"/>
  <c r="AZ143" i="20"/>
  <c r="AY143" i="20"/>
  <c r="AX143" i="20"/>
  <c r="AW143" i="20"/>
  <c r="AV143" i="20"/>
  <c r="AU143" i="20"/>
  <c r="AT143" i="20"/>
  <c r="AS143" i="20"/>
  <c r="AR143" i="20"/>
  <c r="AQ143" i="20"/>
  <c r="AP143" i="20"/>
  <c r="AO143" i="20"/>
  <c r="AN143" i="20"/>
  <c r="AM143" i="20"/>
  <c r="AL143" i="20"/>
  <c r="BE142" i="20"/>
  <c r="BD142" i="20"/>
  <c r="BC142" i="20"/>
  <c r="BB142" i="20"/>
  <c r="BA142" i="20"/>
  <c r="AZ142" i="20"/>
  <c r="AY142" i="20"/>
  <c r="AX142" i="20"/>
  <c r="AW142" i="20"/>
  <c r="AV142" i="20"/>
  <c r="AU142" i="20"/>
  <c r="AT142" i="20"/>
  <c r="AS142" i="20"/>
  <c r="AR142" i="20"/>
  <c r="AQ142" i="20"/>
  <c r="AP142" i="20"/>
  <c r="AO142" i="20"/>
  <c r="AN142" i="20"/>
  <c r="AM142" i="20"/>
  <c r="AL142" i="20"/>
  <c r="BE141" i="20"/>
  <c r="BD141" i="20"/>
  <c r="BC141" i="20"/>
  <c r="BB141" i="20"/>
  <c r="BA141" i="20"/>
  <c r="AZ141" i="20"/>
  <c r="AY141" i="20"/>
  <c r="AX141" i="20"/>
  <c r="AW141" i="20"/>
  <c r="AV141" i="20"/>
  <c r="AU141" i="20"/>
  <c r="AT141" i="20"/>
  <c r="AS141" i="20"/>
  <c r="AR141" i="20"/>
  <c r="AQ141" i="20"/>
  <c r="AP141" i="20"/>
  <c r="AO141" i="20"/>
  <c r="AN141" i="20"/>
  <c r="AM141" i="20"/>
  <c r="AL141" i="20"/>
  <c r="BE140" i="20"/>
  <c r="BD140" i="20"/>
  <c r="BC140" i="20"/>
  <c r="BB140" i="20"/>
  <c r="BA140" i="20"/>
  <c r="AZ140" i="20"/>
  <c r="AY140" i="20"/>
  <c r="AX140" i="20"/>
  <c r="AW140" i="20"/>
  <c r="AV140" i="20"/>
  <c r="AU140" i="20"/>
  <c r="AT140" i="20"/>
  <c r="AS140" i="20"/>
  <c r="AR140" i="20"/>
  <c r="AQ140" i="20"/>
  <c r="AP140" i="20"/>
  <c r="AO140" i="20"/>
  <c r="AN140" i="20"/>
  <c r="AM140" i="20"/>
  <c r="AL140" i="20"/>
  <c r="BE139" i="20"/>
  <c r="BD139" i="20"/>
  <c r="BC139" i="20"/>
  <c r="BB139" i="20"/>
  <c r="BA139" i="20"/>
  <c r="AZ139" i="20"/>
  <c r="AY139" i="20"/>
  <c r="AX139" i="20"/>
  <c r="AW139" i="20"/>
  <c r="AV139" i="20"/>
  <c r="AU139" i="20"/>
  <c r="AT139" i="20"/>
  <c r="AS139" i="20"/>
  <c r="AR139" i="20"/>
  <c r="AQ139" i="20"/>
  <c r="AP139" i="20"/>
  <c r="AO139" i="20"/>
  <c r="AN139" i="20"/>
  <c r="AM139" i="20"/>
  <c r="AL139" i="20"/>
  <c r="BE138" i="20"/>
  <c r="BD138" i="20"/>
  <c r="BC138" i="20"/>
  <c r="BB138" i="20"/>
  <c r="BA138" i="20"/>
  <c r="AZ138" i="20"/>
  <c r="AY138" i="20"/>
  <c r="AX138" i="20"/>
  <c r="AW138" i="20"/>
  <c r="AV138" i="20"/>
  <c r="AU138" i="20"/>
  <c r="AT138" i="20"/>
  <c r="AS138" i="20"/>
  <c r="AR138" i="20"/>
  <c r="AQ138" i="20"/>
  <c r="AP138" i="20"/>
  <c r="AO138" i="20"/>
  <c r="AN138" i="20"/>
  <c r="AM138" i="20"/>
  <c r="AL138" i="20"/>
  <c r="BE137" i="20"/>
  <c r="BD137" i="20"/>
  <c r="BC137" i="20"/>
  <c r="BB137" i="20"/>
  <c r="BA137" i="20"/>
  <c r="AZ137" i="20"/>
  <c r="AY137" i="20"/>
  <c r="AX137" i="20"/>
  <c r="AW137" i="20"/>
  <c r="AV137" i="20"/>
  <c r="AU137" i="20"/>
  <c r="AT137" i="20"/>
  <c r="AS137" i="20"/>
  <c r="AR137" i="20"/>
  <c r="AQ137" i="20"/>
  <c r="AP137" i="20"/>
  <c r="AO137" i="20"/>
  <c r="AN137" i="20"/>
  <c r="AM137" i="20"/>
  <c r="AL137" i="20"/>
  <c r="BE136" i="20"/>
  <c r="BD136" i="20"/>
  <c r="BC136" i="20"/>
  <c r="BB136" i="20"/>
  <c r="BA136" i="20"/>
  <c r="AZ136" i="20"/>
  <c r="AY136" i="20"/>
  <c r="AX136" i="20"/>
  <c r="AW136" i="20"/>
  <c r="AV136" i="20"/>
  <c r="AU136" i="20"/>
  <c r="AT136" i="20"/>
  <c r="AS136" i="20"/>
  <c r="AR136" i="20"/>
  <c r="AQ136" i="20"/>
  <c r="AP136" i="20"/>
  <c r="AO136" i="20"/>
  <c r="AN136" i="20"/>
  <c r="AM136" i="20"/>
  <c r="AL136" i="20"/>
  <c r="BE135" i="20"/>
  <c r="BD135" i="20"/>
  <c r="BC135" i="20"/>
  <c r="BB135" i="20"/>
  <c r="BA135" i="20"/>
  <c r="AZ135" i="20"/>
  <c r="AY135" i="20"/>
  <c r="AX135" i="20"/>
  <c r="AW135" i="20"/>
  <c r="AV135" i="20"/>
  <c r="AU135" i="20"/>
  <c r="AT135" i="20"/>
  <c r="AS135" i="20"/>
  <c r="AR135" i="20"/>
  <c r="AQ135" i="20"/>
  <c r="AP135" i="20"/>
  <c r="AO135" i="20"/>
  <c r="AN135" i="20"/>
  <c r="AM135" i="20"/>
  <c r="AL135" i="20"/>
  <c r="BE134" i="20"/>
  <c r="BD134" i="20"/>
  <c r="BC134" i="20"/>
  <c r="BB134" i="20"/>
  <c r="BA134" i="20"/>
  <c r="AZ134" i="20"/>
  <c r="AY134" i="20"/>
  <c r="AX134" i="20"/>
  <c r="AW134" i="20"/>
  <c r="AV134" i="20"/>
  <c r="AU134" i="20"/>
  <c r="AT134" i="20"/>
  <c r="AS134" i="20"/>
  <c r="AR134" i="20"/>
  <c r="AQ134" i="20"/>
  <c r="AP134" i="20"/>
  <c r="AO134" i="20"/>
  <c r="AN134" i="20"/>
  <c r="AM134" i="20"/>
  <c r="AL134" i="20"/>
  <c r="BE133" i="20"/>
  <c r="BD133" i="20"/>
  <c r="BC133" i="20"/>
  <c r="BB133" i="20"/>
  <c r="BA133" i="20"/>
  <c r="AZ133" i="20"/>
  <c r="AY133" i="20"/>
  <c r="AX133" i="20"/>
  <c r="AW133" i="20"/>
  <c r="AV133" i="20"/>
  <c r="AU133" i="20"/>
  <c r="AT133" i="20"/>
  <c r="AS133" i="20"/>
  <c r="AR133" i="20"/>
  <c r="AQ133" i="20"/>
  <c r="AP133" i="20"/>
  <c r="AO133" i="20"/>
  <c r="AN133" i="20"/>
  <c r="AM133" i="20"/>
  <c r="AL133" i="20"/>
  <c r="BE132" i="20"/>
  <c r="BD132" i="20"/>
  <c r="BC132" i="20"/>
  <c r="BB132" i="20"/>
  <c r="BA132" i="20"/>
  <c r="AZ132" i="20"/>
  <c r="AY132" i="20"/>
  <c r="AX132" i="20"/>
  <c r="AW132" i="20"/>
  <c r="AV132" i="20"/>
  <c r="AU132" i="20"/>
  <c r="AT132" i="20"/>
  <c r="AS132" i="20"/>
  <c r="AR132" i="20"/>
  <c r="AQ132" i="20"/>
  <c r="AP132" i="20"/>
  <c r="AO132" i="20"/>
  <c r="AN132" i="20"/>
  <c r="AM132" i="20"/>
  <c r="AL132" i="20"/>
  <c r="BE131" i="20"/>
  <c r="BD131" i="20"/>
  <c r="BC131" i="20"/>
  <c r="BB131" i="20"/>
  <c r="BA131" i="20"/>
  <c r="AZ131" i="20"/>
  <c r="AY131" i="20"/>
  <c r="AX131" i="20"/>
  <c r="AW131" i="20"/>
  <c r="AV131" i="20"/>
  <c r="AU131" i="20"/>
  <c r="AT131" i="20"/>
  <c r="AS131" i="20"/>
  <c r="AR131" i="20"/>
  <c r="AQ131" i="20"/>
  <c r="AP131" i="20"/>
  <c r="AO131" i="20"/>
  <c r="AN131" i="20"/>
  <c r="AM131" i="20"/>
  <c r="AL131" i="20"/>
  <c r="BE130" i="20"/>
  <c r="BD130" i="20"/>
  <c r="BC130" i="20"/>
  <c r="BB130" i="20"/>
  <c r="BA130" i="20"/>
  <c r="AZ130" i="20"/>
  <c r="AY130" i="20"/>
  <c r="AX130" i="20"/>
  <c r="AW130" i="20"/>
  <c r="AV130" i="20"/>
  <c r="AU130" i="20"/>
  <c r="AT130" i="20"/>
  <c r="AS130" i="20"/>
  <c r="AR130" i="20"/>
  <c r="AQ130" i="20"/>
  <c r="AP130" i="20"/>
  <c r="AO130" i="20"/>
  <c r="AN130" i="20"/>
  <c r="AM130" i="20"/>
  <c r="AL130" i="20"/>
  <c r="BE129" i="20"/>
  <c r="BD129" i="20"/>
  <c r="BC129" i="20"/>
  <c r="BB129" i="20"/>
  <c r="BA129" i="20"/>
  <c r="AZ129" i="20"/>
  <c r="AY129" i="20"/>
  <c r="AX129" i="20"/>
  <c r="AW129" i="20"/>
  <c r="AV129" i="20"/>
  <c r="AU129" i="20"/>
  <c r="AT129" i="20"/>
  <c r="AS129" i="20"/>
  <c r="AR129" i="20"/>
  <c r="AQ129" i="20"/>
  <c r="AP129" i="20"/>
  <c r="AO129" i="20"/>
  <c r="AN129" i="20"/>
  <c r="AM129" i="20"/>
  <c r="AL129" i="20"/>
  <c r="BE128" i="20"/>
  <c r="BD128" i="20"/>
  <c r="BC128" i="20"/>
  <c r="BB128" i="20"/>
  <c r="BA128" i="20"/>
  <c r="AZ128" i="20"/>
  <c r="AY128" i="20"/>
  <c r="AX128" i="20"/>
  <c r="AW128" i="20"/>
  <c r="AV128" i="20"/>
  <c r="AU128" i="20"/>
  <c r="AT128" i="20"/>
  <c r="AS128" i="20"/>
  <c r="AR128" i="20"/>
  <c r="AQ128" i="20"/>
  <c r="AP128" i="20"/>
  <c r="AO128" i="20"/>
  <c r="AN128" i="20"/>
  <c r="AM128" i="20"/>
  <c r="AL128" i="20"/>
  <c r="BE127" i="20"/>
  <c r="BD127" i="20"/>
  <c r="BC127" i="20"/>
  <c r="BB127" i="20"/>
  <c r="BA127" i="20"/>
  <c r="AZ127" i="20"/>
  <c r="AY127" i="20"/>
  <c r="AX127" i="20"/>
  <c r="AW127" i="20"/>
  <c r="AV127" i="20"/>
  <c r="AU127" i="20"/>
  <c r="AT127" i="20"/>
  <c r="AS127" i="20"/>
  <c r="AR127" i="20"/>
  <c r="AQ127" i="20"/>
  <c r="AP127" i="20"/>
  <c r="AO127" i="20"/>
  <c r="AN127" i="20"/>
  <c r="AM127" i="20"/>
  <c r="AL127" i="20"/>
  <c r="BE126" i="20"/>
  <c r="BD126" i="20"/>
  <c r="BC126" i="20"/>
  <c r="BB126" i="20"/>
  <c r="BA126" i="20"/>
  <c r="AZ126" i="20"/>
  <c r="AY126" i="20"/>
  <c r="AX126" i="20"/>
  <c r="AW126" i="20"/>
  <c r="AV126" i="20"/>
  <c r="AU126" i="20"/>
  <c r="AT126" i="20"/>
  <c r="AS126" i="20"/>
  <c r="AR126" i="20"/>
  <c r="AQ126" i="20"/>
  <c r="AP126" i="20"/>
  <c r="AO126" i="20"/>
  <c r="AN126" i="20"/>
  <c r="AM126" i="20"/>
  <c r="AL126" i="20"/>
  <c r="BE125" i="20"/>
  <c r="BD125" i="20"/>
  <c r="BC125" i="20"/>
  <c r="BB125" i="20"/>
  <c r="BA125" i="20"/>
  <c r="AZ125" i="20"/>
  <c r="AY125" i="20"/>
  <c r="AX125" i="20"/>
  <c r="AW125" i="20"/>
  <c r="AV125" i="20"/>
  <c r="AU125" i="20"/>
  <c r="AT125" i="20"/>
  <c r="AS125" i="20"/>
  <c r="AR125" i="20"/>
  <c r="AQ125" i="20"/>
  <c r="AP125" i="20"/>
  <c r="AO125" i="20"/>
  <c r="AN125" i="20"/>
  <c r="AM125" i="20"/>
  <c r="AL125" i="20"/>
  <c r="BE124" i="20"/>
  <c r="BD124" i="20"/>
  <c r="BC124" i="20"/>
  <c r="BB124" i="20"/>
  <c r="BA124" i="20"/>
  <c r="AZ124" i="20"/>
  <c r="AY124" i="20"/>
  <c r="AX124" i="20"/>
  <c r="AW124" i="20"/>
  <c r="AV124" i="20"/>
  <c r="AU124" i="20"/>
  <c r="AT124" i="20"/>
  <c r="AS124" i="20"/>
  <c r="AR124" i="20"/>
  <c r="AQ124" i="20"/>
  <c r="AP124" i="20"/>
  <c r="AO124" i="20"/>
  <c r="AN124" i="20"/>
  <c r="AM124" i="20"/>
  <c r="AL124" i="20"/>
  <c r="BE123" i="20"/>
  <c r="BD123" i="20"/>
  <c r="BC123" i="20"/>
  <c r="BB123" i="20"/>
  <c r="BA123" i="20"/>
  <c r="AZ123" i="20"/>
  <c r="AY123" i="20"/>
  <c r="AX123" i="20"/>
  <c r="AW123" i="20"/>
  <c r="AV123" i="20"/>
  <c r="AU123" i="20"/>
  <c r="AT123" i="20"/>
  <c r="AS123" i="20"/>
  <c r="AR123" i="20"/>
  <c r="AQ123" i="20"/>
  <c r="AP123" i="20"/>
  <c r="AO123" i="20"/>
  <c r="AN123" i="20"/>
  <c r="AM123" i="20"/>
  <c r="AL123" i="20"/>
  <c r="BE122" i="20"/>
  <c r="BD122" i="20"/>
  <c r="BC122" i="20"/>
  <c r="BB122" i="20"/>
  <c r="BA122" i="20"/>
  <c r="AZ122" i="20"/>
  <c r="AY122" i="20"/>
  <c r="AX122" i="20"/>
  <c r="AW122" i="20"/>
  <c r="AV122" i="20"/>
  <c r="AU122" i="20"/>
  <c r="AT122" i="20"/>
  <c r="AS122" i="20"/>
  <c r="AR122" i="20"/>
  <c r="AQ122" i="20"/>
  <c r="AP122" i="20"/>
  <c r="AO122" i="20"/>
  <c r="AN122" i="20"/>
  <c r="AM122" i="20"/>
  <c r="AL122" i="20"/>
  <c r="BE121" i="20"/>
  <c r="BD121" i="20"/>
  <c r="BC121" i="20"/>
  <c r="BB121" i="20"/>
  <c r="BA121" i="20"/>
  <c r="AZ121" i="20"/>
  <c r="AY121" i="20"/>
  <c r="AX121" i="20"/>
  <c r="AW121" i="20"/>
  <c r="AV121" i="20"/>
  <c r="AU121" i="20"/>
  <c r="AT121" i="20"/>
  <c r="AS121" i="20"/>
  <c r="AR121" i="20"/>
  <c r="AQ121" i="20"/>
  <c r="AP121" i="20"/>
  <c r="AO121" i="20"/>
  <c r="AN121" i="20"/>
  <c r="AM121" i="20"/>
  <c r="AL121" i="20"/>
  <c r="BE120" i="20"/>
  <c r="BD120" i="20"/>
  <c r="BC120" i="20"/>
  <c r="BB120" i="20"/>
  <c r="BA120" i="20"/>
  <c r="AZ120" i="20"/>
  <c r="AY120" i="20"/>
  <c r="AX120" i="20"/>
  <c r="AW120" i="20"/>
  <c r="AV120" i="20"/>
  <c r="AU120" i="20"/>
  <c r="AT120" i="20"/>
  <c r="AS120" i="20"/>
  <c r="AR120" i="20"/>
  <c r="AQ120" i="20"/>
  <c r="AP120" i="20"/>
  <c r="AO120" i="20"/>
  <c r="AN120" i="20"/>
  <c r="AM120" i="20"/>
  <c r="AL120" i="20"/>
  <c r="BE119" i="20"/>
  <c r="BD119" i="20"/>
  <c r="BC119" i="20"/>
  <c r="BB119" i="20"/>
  <c r="BA119" i="20"/>
  <c r="AZ119" i="20"/>
  <c r="AY119" i="20"/>
  <c r="AX119" i="20"/>
  <c r="AW119" i="20"/>
  <c r="AV119" i="20"/>
  <c r="AU119" i="20"/>
  <c r="AT119" i="20"/>
  <c r="AS119" i="20"/>
  <c r="AR119" i="20"/>
  <c r="AQ119" i="20"/>
  <c r="AP119" i="20"/>
  <c r="AO119" i="20"/>
  <c r="AN119" i="20"/>
  <c r="AM119" i="20"/>
  <c r="AL119" i="20"/>
  <c r="BE118" i="20"/>
  <c r="BD118" i="20"/>
  <c r="BC118" i="20"/>
  <c r="BB118" i="20"/>
  <c r="BA118" i="20"/>
  <c r="AZ118" i="20"/>
  <c r="AY118" i="20"/>
  <c r="AX118" i="20"/>
  <c r="AW118" i="20"/>
  <c r="AV118" i="20"/>
  <c r="AU118" i="20"/>
  <c r="AT118" i="20"/>
  <c r="AS118" i="20"/>
  <c r="AR118" i="20"/>
  <c r="AQ118" i="20"/>
  <c r="AP118" i="20"/>
  <c r="AO118" i="20"/>
  <c r="AN118" i="20"/>
  <c r="AM118" i="20"/>
  <c r="AL118" i="20"/>
  <c r="BE117" i="20"/>
  <c r="BD117" i="20"/>
  <c r="BC117" i="20"/>
  <c r="BB117" i="20"/>
  <c r="BA117" i="20"/>
  <c r="AZ117" i="20"/>
  <c r="AY117" i="20"/>
  <c r="AX117" i="20"/>
  <c r="AW117" i="20"/>
  <c r="AV117" i="20"/>
  <c r="AU117" i="20"/>
  <c r="AT117" i="20"/>
  <c r="AS117" i="20"/>
  <c r="AR117" i="20"/>
  <c r="AQ117" i="20"/>
  <c r="AP117" i="20"/>
  <c r="AO117" i="20"/>
  <c r="AN117" i="20"/>
  <c r="AM117" i="20"/>
  <c r="AL117" i="20"/>
  <c r="BE116" i="20"/>
  <c r="BD116" i="20"/>
  <c r="BC116" i="20"/>
  <c r="BB116" i="20"/>
  <c r="BA116" i="20"/>
  <c r="AZ116" i="20"/>
  <c r="AY116" i="20"/>
  <c r="AX116" i="20"/>
  <c r="AW116" i="20"/>
  <c r="AV116" i="20"/>
  <c r="AU116" i="20"/>
  <c r="AT116" i="20"/>
  <c r="AS116" i="20"/>
  <c r="AR116" i="20"/>
  <c r="AQ116" i="20"/>
  <c r="AP116" i="20"/>
  <c r="AO116" i="20"/>
  <c r="AN116" i="20"/>
  <c r="AM116" i="20"/>
  <c r="AL116" i="20"/>
  <c r="BE115" i="20"/>
  <c r="BD115" i="20"/>
  <c r="BC115" i="20"/>
  <c r="BB115" i="20"/>
  <c r="BA115" i="20"/>
  <c r="AZ115" i="20"/>
  <c r="AY115" i="20"/>
  <c r="AX115" i="20"/>
  <c r="AW115" i="20"/>
  <c r="AV115" i="20"/>
  <c r="AU115" i="20"/>
  <c r="AT115" i="20"/>
  <c r="AS115" i="20"/>
  <c r="AR115" i="20"/>
  <c r="AQ115" i="20"/>
  <c r="AP115" i="20"/>
  <c r="AO115" i="20"/>
  <c r="AN115" i="20"/>
  <c r="AM115" i="20"/>
  <c r="AL115" i="20"/>
  <c r="BE114" i="20"/>
  <c r="BD114" i="20"/>
  <c r="BC114" i="20"/>
  <c r="BB114" i="20"/>
  <c r="BA114" i="20"/>
  <c r="AZ114" i="20"/>
  <c r="AY114" i="20"/>
  <c r="AX114" i="20"/>
  <c r="AW114" i="20"/>
  <c r="AV114" i="20"/>
  <c r="AU114" i="20"/>
  <c r="AT114" i="20"/>
  <c r="AS114" i="20"/>
  <c r="AR114" i="20"/>
  <c r="AQ114" i="20"/>
  <c r="AP114" i="20"/>
  <c r="AO114" i="20"/>
  <c r="AN114" i="20"/>
  <c r="AM114" i="20"/>
  <c r="AL114" i="20"/>
  <c r="BE113" i="20"/>
  <c r="BD113" i="20"/>
  <c r="BC113" i="20"/>
  <c r="BB113" i="20"/>
  <c r="BA113" i="20"/>
  <c r="AZ113" i="20"/>
  <c r="AY113" i="20"/>
  <c r="AX113" i="20"/>
  <c r="AW113" i="20"/>
  <c r="AV113" i="20"/>
  <c r="AU113" i="20"/>
  <c r="AT113" i="20"/>
  <c r="AS113" i="20"/>
  <c r="AR113" i="20"/>
  <c r="AQ113" i="20"/>
  <c r="AP113" i="20"/>
  <c r="AO113" i="20"/>
  <c r="AN113" i="20"/>
  <c r="AM113" i="20"/>
  <c r="AL113" i="20"/>
  <c r="BE112" i="20"/>
  <c r="BD112" i="20"/>
  <c r="BC112" i="20"/>
  <c r="BB112" i="20"/>
  <c r="BA112" i="20"/>
  <c r="AZ112" i="20"/>
  <c r="AY112" i="20"/>
  <c r="AX112" i="20"/>
  <c r="AW112" i="20"/>
  <c r="AV112" i="20"/>
  <c r="AU112" i="20"/>
  <c r="AT112" i="20"/>
  <c r="AS112" i="20"/>
  <c r="AR112" i="20"/>
  <c r="AQ112" i="20"/>
  <c r="AP112" i="20"/>
  <c r="AO112" i="20"/>
  <c r="AN112" i="20"/>
  <c r="AM112" i="20"/>
  <c r="AL112" i="20"/>
  <c r="BE111" i="20"/>
  <c r="BD111" i="20"/>
  <c r="BC111" i="20"/>
  <c r="BB111" i="20"/>
  <c r="BA111" i="20"/>
  <c r="AZ111" i="20"/>
  <c r="AY111" i="20"/>
  <c r="AX111" i="20"/>
  <c r="AW111" i="20"/>
  <c r="AV111" i="20"/>
  <c r="AU111" i="20"/>
  <c r="AT111" i="20"/>
  <c r="AS111" i="20"/>
  <c r="AR111" i="20"/>
  <c r="AQ111" i="20"/>
  <c r="AP111" i="20"/>
  <c r="AO111" i="20"/>
  <c r="AN111" i="20"/>
  <c r="AM111" i="20"/>
  <c r="AL111" i="20"/>
  <c r="BE110" i="20"/>
  <c r="BD110" i="20"/>
  <c r="BC110" i="20"/>
  <c r="BB110" i="20"/>
  <c r="BA110" i="20"/>
  <c r="AZ110" i="20"/>
  <c r="AY110" i="20"/>
  <c r="AX110" i="20"/>
  <c r="AW110" i="20"/>
  <c r="AV110" i="20"/>
  <c r="AU110" i="20"/>
  <c r="AT110" i="20"/>
  <c r="AS110" i="20"/>
  <c r="AR110" i="20"/>
  <c r="AQ110" i="20"/>
  <c r="AP110" i="20"/>
  <c r="AO110" i="20"/>
  <c r="AN110" i="20"/>
  <c r="AM110" i="20"/>
  <c r="AL110" i="20"/>
  <c r="BE109" i="20"/>
  <c r="BD109" i="20"/>
  <c r="BC109" i="20"/>
  <c r="BB109" i="20"/>
  <c r="BA109" i="20"/>
  <c r="AZ109" i="20"/>
  <c r="AY109" i="20"/>
  <c r="AX109" i="20"/>
  <c r="AW109" i="20"/>
  <c r="AV109" i="20"/>
  <c r="AU109" i="20"/>
  <c r="AT109" i="20"/>
  <c r="AS109" i="20"/>
  <c r="AR109" i="20"/>
  <c r="AQ109" i="20"/>
  <c r="AP109" i="20"/>
  <c r="AO109" i="20"/>
  <c r="AN109" i="20"/>
  <c r="AM109" i="20"/>
  <c r="AL109" i="20"/>
  <c r="BE108" i="20"/>
  <c r="BD108" i="20"/>
  <c r="BC108" i="20"/>
  <c r="BB108" i="20"/>
  <c r="BA108" i="20"/>
  <c r="AZ108" i="20"/>
  <c r="AY108" i="20"/>
  <c r="AX108" i="20"/>
  <c r="AW108" i="20"/>
  <c r="AV108" i="20"/>
  <c r="AU108" i="20"/>
  <c r="AT108" i="20"/>
  <c r="AS108" i="20"/>
  <c r="AR108" i="20"/>
  <c r="AQ108" i="20"/>
  <c r="AP108" i="20"/>
  <c r="AO108" i="20"/>
  <c r="AN108" i="20"/>
  <c r="AM108" i="20"/>
  <c r="AL108" i="20"/>
  <c r="BE107" i="20"/>
  <c r="BD107" i="20"/>
  <c r="BC107" i="20"/>
  <c r="BB107" i="20"/>
  <c r="BA107" i="20"/>
  <c r="AZ107" i="20"/>
  <c r="AY107" i="20"/>
  <c r="AX107" i="20"/>
  <c r="AW107" i="20"/>
  <c r="AV107" i="20"/>
  <c r="AU107" i="20"/>
  <c r="AT107" i="20"/>
  <c r="AS107" i="20"/>
  <c r="AR107" i="20"/>
  <c r="AQ107" i="20"/>
  <c r="AP107" i="20"/>
  <c r="AO107" i="20"/>
  <c r="AN107" i="20"/>
  <c r="AM107" i="20"/>
  <c r="AL107" i="20"/>
  <c r="BE106" i="20"/>
  <c r="BD106" i="20"/>
  <c r="BC106" i="20"/>
  <c r="BB106" i="20"/>
  <c r="BA106" i="20"/>
  <c r="AZ106" i="20"/>
  <c r="AY106" i="20"/>
  <c r="AX106" i="20"/>
  <c r="AW106" i="20"/>
  <c r="AV106" i="20"/>
  <c r="AU106" i="20"/>
  <c r="AT106" i="20"/>
  <c r="AS106" i="20"/>
  <c r="AR106" i="20"/>
  <c r="AQ106" i="20"/>
  <c r="AP106" i="20"/>
  <c r="AO106" i="20"/>
  <c r="AN106" i="20"/>
  <c r="AM106" i="20"/>
  <c r="AL106" i="20"/>
  <c r="BE105" i="20"/>
  <c r="BD105" i="20"/>
  <c r="BC105" i="20"/>
  <c r="BB105" i="20"/>
  <c r="BA105" i="20"/>
  <c r="AZ105" i="20"/>
  <c r="AY105" i="20"/>
  <c r="AX105" i="20"/>
  <c r="AW105" i="20"/>
  <c r="AV105" i="20"/>
  <c r="AU105" i="20"/>
  <c r="AT105" i="20"/>
  <c r="AS105" i="20"/>
  <c r="AR105" i="20"/>
  <c r="AQ105" i="20"/>
  <c r="AP105" i="20"/>
  <c r="AO105" i="20"/>
  <c r="AN105" i="20"/>
  <c r="AM105" i="20"/>
  <c r="AL105" i="20"/>
  <c r="BE104" i="20"/>
  <c r="BD104" i="20"/>
  <c r="BC104" i="20"/>
  <c r="BB104" i="20"/>
  <c r="BA104" i="20"/>
  <c r="AZ104" i="20"/>
  <c r="AY104" i="20"/>
  <c r="AX104" i="20"/>
  <c r="AW104" i="20"/>
  <c r="AV104" i="20"/>
  <c r="AU104" i="20"/>
  <c r="AT104" i="20"/>
  <c r="AS104" i="20"/>
  <c r="AR104" i="20"/>
  <c r="AQ104" i="20"/>
  <c r="AP104" i="20"/>
  <c r="AO104" i="20"/>
  <c r="AN104" i="20"/>
  <c r="AM104" i="20"/>
  <c r="AL104" i="20"/>
  <c r="BE103" i="20"/>
  <c r="BD103" i="20"/>
  <c r="BC103" i="20"/>
  <c r="BB103" i="20"/>
  <c r="BA103" i="20"/>
  <c r="AZ103" i="20"/>
  <c r="AY103" i="20"/>
  <c r="AX103" i="20"/>
  <c r="AW103" i="20"/>
  <c r="AV103" i="20"/>
  <c r="AU103" i="20"/>
  <c r="AT103" i="20"/>
  <c r="AS103" i="20"/>
  <c r="AR103" i="20"/>
  <c r="AQ103" i="20"/>
  <c r="AP103" i="20"/>
  <c r="AO103" i="20"/>
  <c r="AN103" i="20"/>
  <c r="AM103" i="20"/>
  <c r="AL103" i="20"/>
  <c r="BE102" i="20"/>
  <c r="BD102" i="20"/>
  <c r="BC102" i="20"/>
  <c r="BB102" i="20"/>
  <c r="BA102" i="20"/>
  <c r="AZ102" i="20"/>
  <c r="AY102" i="20"/>
  <c r="AX102" i="20"/>
  <c r="AW102" i="20"/>
  <c r="AV102" i="20"/>
  <c r="AU102" i="20"/>
  <c r="AT102" i="20"/>
  <c r="AS102" i="20"/>
  <c r="AR102" i="20"/>
  <c r="AQ102" i="20"/>
  <c r="AP102" i="20"/>
  <c r="AO102" i="20"/>
  <c r="AN102" i="20"/>
  <c r="AM102" i="20"/>
  <c r="AL102" i="20"/>
  <c r="BE101" i="20"/>
  <c r="BD101" i="20"/>
  <c r="BC101" i="20"/>
  <c r="BB101" i="20"/>
  <c r="BA101" i="20"/>
  <c r="AZ101" i="20"/>
  <c r="AY101" i="20"/>
  <c r="AX101" i="20"/>
  <c r="AW101" i="20"/>
  <c r="AV101" i="20"/>
  <c r="AU101" i="20"/>
  <c r="AT101" i="20"/>
  <c r="AS101" i="20"/>
  <c r="AR101" i="20"/>
  <c r="AQ101" i="20"/>
  <c r="AP101" i="20"/>
  <c r="AO101" i="20"/>
  <c r="AN101" i="20"/>
  <c r="AM101" i="20"/>
  <c r="AL101" i="20"/>
  <c r="BE100" i="20"/>
  <c r="BD100" i="20"/>
  <c r="BC100" i="20"/>
  <c r="BB100" i="20"/>
  <c r="BA100" i="20"/>
  <c r="AZ100" i="20"/>
  <c r="AY100" i="20"/>
  <c r="AX100" i="20"/>
  <c r="AW100" i="20"/>
  <c r="AV100" i="20"/>
  <c r="AU100" i="20"/>
  <c r="AT100" i="20"/>
  <c r="AS100" i="20"/>
  <c r="AR100" i="20"/>
  <c r="AQ100" i="20"/>
  <c r="AP100" i="20"/>
  <c r="AO100" i="20"/>
  <c r="AN100" i="20"/>
  <c r="AM100" i="20"/>
  <c r="AL100" i="20"/>
  <c r="BE99" i="20"/>
  <c r="BD99" i="20"/>
  <c r="BC99" i="20"/>
  <c r="BB99" i="20"/>
  <c r="BA99" i="20"/>
  <c r="AZ99" i="20"/>
  <c r="AY99" i="20"/>
  <c r="AX99" i="20"/>
  <c r="AW99" i="20"/>
  <c r="AV99" i="20"/>
  <c r="AU99" i="20"/>
  <c r="AT99" i="20"/>
  <c r="AS99" i="20"/>
  <c r="AR99" i="20"/>
  <c r="AQ99" i="20"/>
  <c r="AP99" i="20"/>
  <c r="AO99" i="20"/>
  <c r="AN99" i="20"/>
  <c r="AM99" i="20"/>
  <c r="AL99" i="20"/>
  <c r="BE98" i="20"/>
  <c r="BD98" i="20"/>
  <c r="BC98" i="20"/>
  <c r="BB98" i="20"/>
  <c r="BA98" i="20"/>
  <c r="AZ98" i="20"/>
  <c r="AY98" i="20"/>
  <c r="AX98" i="20"/>
  <c r="AW98" i="20"/>
  <c r="AV98" i="20"/>
  <c r="AU98" i="20"/>
  <c r="AT98" i="20"/>
  <c r="AS98" i="20"/>
  <c r="AR98" i="20"/>
  <c r="AQ98" i="20"/>
  <c r="AP98" i="20"/>
  <c r="AO98" i="20"/>
  <c r="AN98" i="20"/>
  <c r="AM98" i="20"/>
  <c r="AL98" i="20"/>
  <c r="BE97" i="20"/>
  <c r="BD97" i="20"/>
  <c r="BC97" i="20"/>
  <c r="BB97" i="20"/>
  <c r="BA97" i="20"/>
  <c r="AZ97" i="20"/>
  <c r="AY97" i="20"/>
  <c r="AX97" i="20"/>
  <c r="AW97" i="20"/>
  <c r="AV97" i="20"/>
  <c r="AU97" i="20"/>
  <c r="AT97" i="20"/>
  <c r="AS97" i="20"/>
  <c r="AR97" i="20"/>
  <c r="AQ97" i="20"/>
  <c r="AP97" i="20"/>
  <c r="AO97" i="20"/>
  <c r="AN97" i="20"/>
  <c r="AM97" i="20"/>
  <c r="AL97" i="20"/>
  <c r="BE96" i="20"/>
  <c r="BD96" i="20"/>
  <c r="BC96" i="20"/>
  <c r="BB96" i="20"/>
  <c r="BA96" i="20"/>
  <c r="AZ96" i="20"/>
  <c r="AY96" i="20"/>
  <c r="AX96" i="20"/>
  <c r="AW96" i="20"/>
  <c r="AV96" i="20"/>
  <c r="AU96" i="20"/>
  <c r="AT96" i="20"/>
  <c r="AS96" i="20"/>
  <c r="AR96" i="20"/>
  <c r="AQ96" i="20"/>
  <c r="AP96" i="20"/>
  <c r="AO96" i="20"/>
  <c r="AN96" i="20"/>
  <c r="AM96" i="20"/>
  <c r="AL96" i="20"/>
  <c r="BE95" i="20"/>
  <c r="BD95" i="20"/>
  <c r="BC95" i="20"/>
  <c r="BB95" i="20"/>
  <c r="BA95" i="20"/>
  <c r="AZ95" i="20"/>
  <c r="AY95" i="20"/>
  <c r="AX95" i="20"/>
  <c r="AW95" i="20"/>
  <c r="AV95" i="20"/>
  <c r="AU95" i="20"/>
  <c r="AT95" i="20"/>
  <c r="AS95" i="20"/>
  <c r="AR95" i="20"/>
  <c r="AQ95" i="20"/>
  <c r="AP95" i="20"/>
  <c r="AO95" i="20"/>
  <c r="AN95" i="20"/>
  <c r="AM95" i="20"/>
  <c r="AL95" i="20"/>
  <c r="BE94" i="20"/>
  <c r="BD94" i="20"/>
  <c r="BC94" i="20"/>
  <c r="BB94" i="20"/>
  <c r="BA94" i="20"/>
  <c r="AZ94" i="20"/>
  <c r="AY94" i="20"/>
  <c r="AX94" i="20"/>
  <c r="AW94" i="20"/>
  <c r="AV94" i="20"/>
  <c r="AU94" i="20"/>
  <c r="AT94" i="20"/>
  <c r="AS94" i="20"/>
  <c r="AR94" i="20"/>
  <c r="AQ94" i="20"/>
  <c r="AP94" i="20"/>
  <c r="AO94" i="20"/>
  <c r="AN94" i="20"/>
  <c r="AM94" i="20"/>
  <c r="AL94" i="20"/>
  <c r="BE93" i="20"/>
  <c r="BD93" i="20"/>
  <c r="BC93" i="20"/>
  <c r="BB93" i="20"/>
  <c r="BA93" i="20"/>
  <c r="AZ93" i="20"/>
  <c r="AY93" i="20"/>
  <c r="AX93" i="20"/>
  <c r="AW93" i="20"/>
  <c r="AV93" i="20"/>
  <c r="AU93" i="20"/>
  <c r="AT93" i="20"/>
  <c r="AS93" i="20"/>
  <c r="AR93" i="20"/>
  <c r="AQ93" i="20"/>
  <c r="AP93" i="20"/>
  <c r="AO93" i="20"/>
  <c r="AN93" i="20"/>
  <c r="AM93" i="20"/>
  <c r="AL93" i="20"/>
  <c r="BE92" i="20"/>
  <c r="BD92" i="20"/>
  <c r="BC92" i="20"/>
  <c r="BB92" i="20"/>
  <c r="BA92" i="20"/>
  <c r="AZ92" i="20"/>
  <c r="AY92" i="20"/>
  <c r="AX92" i="20"/>
  <c r="AW92" i="20"/>
  <c r="AV92" i="20"/>
  <c r="AU92" i="20"/>
  <c r="AT92" i="20"/>
  <c r="AS92" i="20"/>
  <c r="AR92" i="20"/>
  <c r="AQ92" i="20"/>
  <c r="AP92" i="20"/>
  <c r="AO92" i="20"/>
  <c r="AN92" i="20"/>
  <c r="AM92" i="20"/>
  <c r="AL92" i="20"/>
  <c r="BE91" i="20"/>
  <c r="BD91" i="20"/>
  <c r="BC91" i="20"/>
  <c r="BB91" i="20"/>
  <c r="BA91" i="20"/>
  <c r="AZ91" i="20"/>
  <c r="AY91" i="20"/>
  <c r="AX91" i="20"/>
  <c r="AW91" i="20"/>
  <c r="AV91" i="20"/>
  <c r="AU91" i="20"/>
  <c r="AT91" i="20"/>
  <c r="AS91" i="20"/>
  <c r="AR91" i="20"/>
  <c r="AQ91" i="20"/>
  <c r="AP91" i="20"/>
  <c r="AO91" i="20"/>
  <c r="AN91" i="20"/>
  <c r="AM91" i="20"/>
  <c r="AL91" i="20"/>
  <c r="BE90" i="20"/>
  <c r="BD90" i="20"/>
  <c r="BC90" i="20"/>
  <c r="BB90" i="20"/>
  <c r="BA90" i="20"/>
  <c r="AZ90" i="20"/>
  <c r="AY90" i="20"/>
  <c r="AX90" i="20"/>
  <c r="AW90" i="20"/>
  <c r="AV90" i="20"/>
  <c r="AU90" i="20"/>
  <c r="AT90" i="20"/>
  <c r="AS90" i="20"/>
  <c r="AR90" i="20"/>
  <c r="AQ90" i="20"/>
  <c r="AP90" i="20"/>
  <c r="AO90" i="20"/>
  <c r="AN90" i="20"/>
  <c r="AM90" i="20"/>
  <c r="AL90" i="20"/>
  <c r="BE89" i="20"/>
  <c r="BD89" i="20"/>
  <c r="BC89" i="20"/>
  <c r="BB89" i="20"/>
  <c r="BA89" i="20"/>
  <c r="AZ89" i="20"/>
  <c r="AY89" i="20"/>
  <c r="AX89" i="20"/>
  <c r="AW89" i="20"/>
  <c r="AV89" i="20"/>
  <c r="AU89" i="20"/>
  <c r="AT89" i="20"/>
  <c r="AS89" i="20"/>
  <c r="AR89" i="20"/>
  <c r="AQ89" i="20"/>
  <c r="AP89" i="20"/>
  <c r="AO89" i="20"/>
  <c r="AN89" i="20"/>
  <c r="AM89" i="20"/>
  <c r="AL89" i="20"/>
  <c r="BE88" i="20"/>
  <c r="BD88" i="20"/>
  <c r="BC88" i="20"/>
  <c r="BB88" i="20"/>
  <c r="BA88" i="20"/>
  <c r="AZ88" i="20"/>
  <c r="AY88" i="20"/>
  <c r="AX88" i="20"/>
  <c r="AW88" i="20"/>
  <c r="AV88" i="20"/>
  <c r="AU88" i="20"/>
  <c r="AT88" i="20"/>
  <c r="AS88" i="20"/>
  <c r="AR88" i="20"/>
  <c r="AQ88" i="20"/>
  <c r="AP88" i="20"/>
  <c r="AO88" i="20"/>
  <c r="AN88" i="20"/>
  <c r="AM88" i="20"/>
  <c r="AL88" i="20"/>
  <c r="BE87" i="20"/>
  <c r="BD87" i="20"/>
  <c r="BC87" i="20"/>
  <c r="BB87" i="20"/>
  <c r="BA87" i="20"/>
  <c r="AZ87" i="20"/>
  <c r="AY87" i="20"/>
  <c r="AX87" i="20"/>
  <c r="AW87" i="20"/>
  <c r="AV87" i="20"/>
  <c r="AU87" i="20"/>
  <c r="AT87" i="20"/>
  <c r="AS87" i="20"/>
  <c r="AR87" i="20"/>
  <c r="AQ87" i="20"/>
  <c r="AP87" i="20"/>
  <c r="AO87" i="20"/>
  <c r="AN87" i="20"/>
  <c r="AM87" i="20"/>
  <c r="AL87" i="20"/>
  <c r="BE86" i="20"/>
  <c r="BD86" i="20"/>
  <c r="BC86" i="20"/>
  <c r="BB86" i="20"/>
  <c r="BA86" i="20"/>
  <c r="AZ86" i="20"/>
  <c r="AY86" i="20"/>
  <c r="AX86" i="20"/>
  <c r="AW86" i="20"/>
  <c r="AV86" i="20"/>
  <c r="AU86" i="20"/>
  <c r="AT86" i="20"/>
  <c r="AS86" i="20"/>
  <c r="AR86" i="20"/>
  <c r="AQ86" i="20"/>
  <c r="AP86" i="20"/>
  <c r="AO86" i="20"/>
  <c r="AN86" i="20"/>
  <c r="AM86" i="20"/>
  <c r="AL86" i="20"/>
  <c r="BE85" i="20"/>
  <c r="BD85" i="20"/>
  <c r="BC85" i="20"/>
  <c r="BB85" i="20"/>
  <c r="BA85" i="20"/>
  <c r="AZ85" i="20"/>
  <c r="AY85" i="20"/>
  <c r="AX85" i="20"/>
  <c r="AW85" i="20"/>
  <c r="AV85" i="20"/>
  <c r="AU85" i="20"/>
  <c r="AT85" i="20"/>
  <c r="AS85" i="20"/>
  <c r="AR85" i="20"/>
  <c r="AQ85" i="20"/>
  <c r="AP85" i="20"/>
  <c r="AO85" i="20"/>
  <c r="AN85" i="20"/>
  <c r="AM85" i="20"/>
  <c r="AL85" i="20"/>
  <c r="BE84" i="20"/>
  <c r="BD84" i="20"/>
  <c r="BC84" i="20"/>
  <c r="BB84" i="20"/>
  <c r="BA84" i="20"/>
  <c r="AZ84" i="20"/>
  <c r="AY84" i="20"/>
  <c r="AX84" i="20"/>
  <c r="AW84" i="20"/>
  <c r="AV84" i="20"/>
  <c r="AU84" i="20"/>
  <c r="AT84" i="20"/>
  <c r="AS84" i="20"/>
  <c r="AR84" i="20"/>
  <c r="AQ84" i="20"/>
  <c r="AP84" i="20"/>
  <c r="AO84" i="20"/>
  <c r="AN84" i="20"/>
  <c r="AM84" i="20"/>
  <c r="AL84" i="20"/>
  <c r="BE83" i="20"/>
  <c r="BD83" i="20"/>
  <c r="BC83" i="20"/>
  <c r="BB83" i="20"/>
  <c r="BA83" i="20"/>
  <c r="AZ83" i="20"/>
  <c r="AY83" i="20"/>
  <c r="AX83" i="20"/>
  <c r="AW83" i="20"/>
  <c r="AV83" i="20"/>
  <c r="AU83" i="20"/>
  <c r="AT83" i="20"/>
  <c r="AS83" i="20"/>
  <c r="AR83" i="20"/>
  <c r="AQ83" i="20"/>
  <c r="AP83" i="20"/>
  <c r="AO83" i="20"/>
  <c r="AN83" i="20"/>
  <c r="AM83" i="20"/>
  <c r="AL83" i="20"/>
  <c r="BE82" i="20"/>
  <c r="BD82" i="20"/>
  <c r="BC82" i="20"/>
  <c r="BB82" i="20"/>
  <c r="BA82" i="20"/>
  <c r="AZ82" i="20"/>
  <c r="AY82" i="20"/>
  <c r="AX82" i="20"/>
  <c r="AW82" i="20"/>
  <c r="AV82" i="20"/>
  <c r="AU82" i="20"/>
  <c r="AT82" i="20"/>
  <c r="AS82" i="20"/>
  <c r="AR82" i="20"/>
  <c r="AQ82" i="20"/>
  <c r="AP82" i="20"/>
  <c r="AO82" i="20"/>
  <c r="AN82" i="20"/>
  <c r="AM82" i="20"/>
  <c r="AL82" i="20"/>
  <c r="BE81" i="20"/>
  <c r="BD81" i="20"/>
  <c r="BC81" i="20"/>
  <c r="BB81" i="20"/>
  <c r="BA81" i="20"/>
  <c r="AZ81" i="20"/>
  <c r="AY81" i="20"/>
  <c r="AX81" i="20"/>
  <c r="AW81" i="20"/>
  <c r="AV81" i="20"/>
  <c r="AU81" i="20"/>
  <c r="AT81" i="20"/>
  <c r="AS81" i="20"/>
  <c r="AR81" i="20"/>
  <c r="AQ81" i="20"/>
  <c r="AP81" i="20"/>
  <c r="AO81" i="20"/>
  <c r="AN81" i="20"/>
  <c r="AM81" i="20"/>
  <c r="AL81" i="20"/>
  <c r="BE80" i="20"/>
  <c r="BD80" i="20"/>
  <c r="BC80" i="20"/>
  <c r="BB80" i="20"/>
  <c r="BA80" i="20"/>
  <c r="AZ80" i="20"/>
  <c r="AY80" i="20"/>
  <c r="AX80" i="20"/>
  <c r="AW80" i="20"/>
  <c r="AV80" i="20"/>
  <c r="AU80" i="20"/>
  <c r="AT80" i="20"/>
  <c r="AS80" i="20"/>
  <c r="AR80" i="20"/>
  <c r="AQ80" i="20"/>
  <c r="AP80" i="20"/>
  <c r="AO80" i="20"/>
  <c r="AN80" i="20"/>
  <c r="AM80" i="20"/>
  <c r="AL80" i="20"/>
  <c r="BE79" i="20"/>
  <c r="BD79" i="20"/>
  <c r="BC79" i="20"/>
  <c r="BB79" i="20"/>
  <c r="BA79" i="20"/>
  <c r="AZ79" i="20"/>
  <c r="AY79" i="20"/>
  <c r="AX79" i="20"/>
  <c r="AW79" i="20"/>
  <c r="AV79" i="20"/>
  <c r="AU79" i="20"/>
  <c r="AT79" i="20"/>
  <c r="AS79" i="20"/>
  <c r="AR79" i="20"/>
  <c r="AQ79" i="20"/>
  <c r="AP79" i="20"/>
  <c r="AO79" i="20"/>
  <c r="AN79" i="20"/>
  <c r="AM79" i="20"/>
  <c r="AL79" i="20"/>
  <c r="BE78" i="20"/>
  <c r="BD78" i="20"/>
  <c r="BC78" i="20"/>
  <c r="BB78" i="20"/>
  <c r="BA78" i="20"/>
  <c r="AZ78" i="20"/>
  <c r="AY78" i="20"/>
  <c r="AX78" i="20"/>
  <c r="AW78" i="20"/>
  <c r="AV78" i="20"/>
  <c r="AU78" i="20"/>
  <c r="AT78" i="20"/>
  <c r="AS78" i="20"/>
  <c r="AR78" i="20"/>
  <c r="AQ78" i="20"/>
  <c r="AP78" i="20"/>
  <c r="AO78" i="20"/>
  <c r="AN78" i="20"/>
  <c r="AM78" i="20"/>
  <c r="AL78" i="20"/>
  <c r="BE77" i="20"/>
  <c r="BD77" i="20"/>
  <c r="BC77" i="20"/>
  <c r="BB77" i="20"/>
  <c r="BA77" i="20"/>
  <c r="AZ77" i="20"/>
  <c r="AY77" i="20"/>
  <c r="AX77" i="20"/>
  <c r="AW77" i="20"/>
  <c r="AV77" i="20"/>
  <c r="AU77" i="20"/>
  <c r="AT77" i="20"/>
  <c r="AS77" i="20"/>
  <c r="AR77" i="20"/>
  <c r="AQ77" i="20"/>
  <c r="AP77" i="20"/>
  <c r="AO77" i="20"/>
  <c r="AN77" i="20"/>
  <c r="AM77" i="20"/>
  <c r="AL77" i="20"/>
  <c r="BE76" i="20"/>
  <c r="BD76" i="20"/>
  <c r="BC76" i="20"/>
  <c r="BB76" i="20"/>
  <c r="BA76" i="20"/>
  <c r="AZ76" i="20"/>
  <c r="AY76" i="20"/>
  <c r="AX76" i="20"/>
  <c r="AW76" i="20"/>
  <c r="AV76" i="20"/>
  <c r="AU76" i="20"/>
  <c r="AT76" i="20"/>
  <c r="AS76" i="20"/>
  <c r="AR76" i="20"/>
  <c r="AQ76" i="20"/>
  <c r="AP76" i="20"/>
  <c r="AO76" i="20"/>
  <c r="AN76" i="20"/>
  <c r="AM76" i="20"/>
  <c r="AL76" i="20"/>
  <c r="BE75" i="20"/>
  <c r="BD75" i="20"/>
  <c r="BC75" i="20"/>
  <c r="BB75" i="20"/>
  <c r="BA75" i="20"/>
  <c r="AZ75" i="20"/>
  <c r="AY75" i="20"/>
  <c r="AX75" i="20"/>
  <c r="AW75" i="20"/>
  <c r="AV75" i="20"/>
  <c r="AU75" i="20"/>
  <c r="AT75" i="20"/>
  <c r="AS75" i="20"/>
  <c r="AR75" i="20"/>
  <c r="AQ75" i="20"/>
  <c r="AP75" i="20"/>
  <c r="AO75" i="20"/>
  <c r="AN75" i="20"/>
  <c r="AM75" i="20"/>
  <c r="AL75" i="20"/>
  <c r="BE74" i="20"/>
  <c r="BD74" i="20"/>
  <c r="BC74" i="20"/>
  <c r="BB74" i="20"/>
  <c r="BA74" i="20"/>
  <c r="AZ74" i="20"/>
  <c r="AY74" i="20"/>
  <c r="AX74" i="20"/>
  <c r="AW74" i="20"/>
  <c r="AV74" i="20"/>
  <c r="AU74" i="20"/>
  <c r="AT74" i="20"/>
  <c r="AS74" i="20"/>
  <c r="AR74" i="20"/>
  <c r="AQ74" i="20"/>
  <c r="AP74" i="20"/>
  <c r="AO74" i="20"/>
  <c r="AN74" i="20"/>
  <c r="AM74" i="20"/>
  <c r="AL74" i="20"/>
  <c r="BE73" i="20"/>
  <c r="BD73" i="20"/>
  <c r="BC73" i="20"/>
  <c r="BB73" i="20"/>
  <c r="BA73" i="20"/>
  <c r="AZ73" i="20"/>
  <c r="AY73" i="20"/>
  <c r="AX73" i="20"/>
  <c r="AW73" i="20"/>
  <c r="AV73" i="20"/>
  <c r="AU73" i="20"/>
  <c r="AT73" i="20"/>
  <c r="AS73" i="20"/>
  <c r="AR73" i="20"/>
  <c r="AQ73" i="20"/>
  <c r="AP73" i="20"/>
  <c r="AO73" i="20"/>
  <c r="AN73" i="20"/>
  <c r="AM73" i="20"/>
  <c r="AL73" i="20"/>
  <c r="BE72" i="20"/>
  <c r="BD72" i="20"/>
  <c r="BC72" i="20"/>
  <c r="BB72" i="20"/>
  <c r="BA72" i="20"/>
  <c r="AZ72" i="20"/>
  <c r="AY72" i="20"/>
  <c r="AX72" i="20"/>
  <c r="AW72" i="20"/>
  <c r="AV72" i="20"/>
  <c r="AU72" i="20"/>
  <c r="AT72" i="20"/>
  <c r="AS72" i="20"/>
  <c r="AR72" i="20"/>
  <c r="AQ72" i="20"/>
  <c r="AP72" i="20"/>
  <c r="AO72" i="20"/>
  <c r="AN72" i="20"/>
  <c r="AM72" i="20"/>
  <c r="AL72" i="20"/>
  <c r="BE71" i="20"/>
  <c r="BD71" i="20"/>
  <c r="BC71" i="20"/>
  <c r="BB71" i="20"/>
  <c r="BA71" i="20"/>
  <c r="AZ71" i="20"/>
  <c r="AY71" i="20"/>
  <c r="AX71" i="20"/>
  <c r="AW71" i="20"/>
  <c r="AV71" i="20"/>
  <c r="AU71" i="20"/>
  <c r="AT71" i="20"/>
  <c r="AS71" i="20"/>
  <c r="AR71" i="20"/>
  <c r="AQ71" i="20"/>
  <c r="AP71" i="20"/>
  <c r="AO71" i="20"/>
  <c r="AN71" i="20"/>
  <c r="AM71" i="20"/>
  <c r="AL71" i="20"/>
  <c r="BE70" i="20"/>
  <c r="BD70" i="20"/>
  <c r="BC70" i="20"/>
  <c r="BB70" i="20"/>
  <c r="BA70" i="20"/>
  <c r="AZ70" i="20"/>
  <c r="AY70" i="20"/>
  <c r="AX70" i="20"/>
  <c r="AW70" i="20"/>
  <c r="AV70" i="20"/>
  <c r="AU70" i="20"/>
  <c r="AT70" i="20"/>
  <c r="AS70" i="20"/>
  <c r="AR70" i="20"/>
  <c r="AQ70" i="20"/>
  <c r="AP70" i="20"/>
  <c r="AO70" i="20"/>
  <c r="AN70" i="20"/>
  <c r="AM70" i="20"/>
  <c r="AL70" i="20"/>
  <c r="BE69" i="20"/>
  <c r="BD69" i="20"/>
  <c r="BC69" i="20"/>
  <c r="BB69" i="20"/>
  <c r="BA69" i="20"/>
  <c r="AZ69" i="20"/>
  <c r="AY69" i="20"/>
  <c r="AX69" i="20"/>
  <c r="AW69" i="20"/>
  <c r="AV69" i="20"/>
  <c r="AU69" i="20"/>
  <c r="AT69" i="20"/>
  <c r="AS69" i="20"/>
  <c r="AR69" i="20"/>
  <c r="AQ69" i="20"/>
  <c r="AP69" i="20"/>
  <c r="AO69" i="20"/>
  <c r="AN69" i="20"/>
  <c r="AM69" i="20"/>
  <c r="AL69" i="20"/>
  <c r="BE68" i="20"/>
  <c r="BD68" i="20"/>
  <c r="BC68" i="20"/>
  <c r="BB68" i="20"/>
  <c r="BA68" i="20"/>
  <c r="AZ68" i="20"/>
  <c r="AY68" i="20"/>
  <c r="AX68" i="20"/>
  <c r="AW68" i="20"/>
  <c r="AV68" i="20"/>
  <c r="AU68" i="20"/>
  <c r="AT68" i="20"/>
  <c r="AS68" i="20"/>
  <c r="AR68" i="20"/>
  <c r="AQ68" i="20"/>
  <c r="AP68" i="20"/>
  <c r="AO68" i="20"/>
  <c r="AN68" i="20"/>
  <c r="AM68" i="20"/>
  <c r="AL68" i="20"/>
  <c r="BE67" i="20"/>
  <c r="BD67" i="20"/>
  <c r="BC67" i="20"/>
  <c r="BB67" i="20"/>
  <c r="BA67" i="20"/>
  <c r="AZ67" i="20"/>
  <c r="AY67" i="20"/>
  <c r="AX67" i="20"/>
  <c r="AW67" i="20"/>
  <c r="AV67" i="20"/>
  <c r="AU67" i="20"/>
  <c r="AT67" i="20"/>
  <c r="AS67" i="20"/>
  <c r="AR67" i="20"/>
  <c r="AQ67" i="20"/>
  <c r="AP67" i="20"/>
  <c r="AO67" i="20"/>
  <c r="AN67" i="20"/>
  <c r="AM67" i="20"/>
  <c r="AL67" i="20"/>
  <c r="BE66" i="20"/>
  <c r="BD66" i="20"/>
  <c r="BC66" i="20"/>
  <c r="BB66" i="20"/>
  <c r="BA66" i="20"/>
  <c r="AZ66" i="20"/>
  <c r="AY66" i="20"/>
  <c r="AX66" i="20"/>
  <c r="AW66" i="20"/>
  <c r="AV66" i="20"/>
  <c r="AU66" i="20"/>
  <c r="AT66" i="20"/>
  <c r="AS66" i="20"/>
  <c r="AR66" i="20"/>
  <c r="AQ66" i="20"/>
  <c r="AP66" i="20"/>
  <c r="AO66" i="20"/>
  <c r="AN66" i="20"/>
  <c r="AM66" i="20"/>
  <c r="AL66" i="20"/>
  <c r="BE65" i="20"/>
  <c r="BD65" i="20"/>
  <c r="BC65" i="20"/>
  <c r="BB65" i="20"/>
  <c r="BA65" i="20"/>
  <c r="AZ65" i="20"/>
  <c r="AY65" i="20"/>
  <c r="AX65" i="20"/>
  <c r="AW65" i="20"/>
  <c r="AV65" i="20"/>
  <c r="AU65" i="20"/>
  <c r="AT65" i="20"/>
  <c r="AS65" i="20"/>
  <c r="AR65" i="20"/>
  <c r="AQ65" i="20"/>
  <c r="AP65" i="20"/>
  <c r="AO65" i="20"/>
  <c r="AN65" i="20"/>
  <c r="AM65" i="20"/>
  <c r="AL65" i="20"/>
  <c r="BE64" i="20"/>
  <c r="BD64" i="20"/>
  <c r="BC64" i="20"/>
  <c r="BB64" i="20"/>
  <c r="BA64" i="20"/>
  <c r="AZ64" i="20"/>
  <c r="AY64" i="20"/>
  <c r="AX64" i="20"/>
  <c r="AW64" i="20"/>
  <c r="AV64" i="20"/>
  <c r="AU64" i="20"/>
  <c r="AT64" i="20"/>
  <c r="AS64" i="20"/>
  <c r="AR64" i="20"/>
  <c r="AQ64" i="20"/>
  <c r="AP64" i="20"/>
  <c r="AO64" i="20"/>
  <c r="AN64" i="20"/>
  <c r="AM64" i="20"/>
  <c r="AL64" i="20"/>
  <c r="BE63" i="20"/>
  <c r="BD63" i="20"/>
  <c r="BC63" i="20"/>
  <c r="BB63" i="20"/>
  <c r="BA63" i="20"/>
  <c r="AZ63" i="20"/>
  <c r="AY63" i="20"/>
  <c r="AX63" i="20"/>
  <c r="AW63" i="20"/>
  <c r="AV63" i="20"/>
  <c r="AU63" i="20"/>
  <c r="AT63" i="20"/>
  <c r="AS63" i="20"/>
  <c r="AR63" i="20"/>
  <c r="AQ63" i="20"/>
  <c r="AP63" i="20"/>
  <c r="AO63" i="20"/>
  <c r="AN63" i="20"/>
  <c r="AM63" i="20"/>
  <c r="AL63" i="20"/>
  <c r="BE62" i="20"/>
  <c r="BD62" i="20"/>
  <c r="BC62" i="20"/>
  <c r="BB62" i="20"/>
  <c r="BA62" i="20"/>
  <c r="AZ62" i="20"/>
  <c r="AY62" i="20"/>
  <c r="AX62" i="20"/>
  <c r="AW62" i="20"/>
  <c r="AV62" i="20"/>
  <c r="AU62" i="20"/>
  <c r="AT62" i="20"/>
  <c r="AS62" i="20"/>
  <c r="AR62" i="20"/>
  <c r="AQ62" i="20"/>
  <c r="AP62" i="20"/>
  <c r="AO62" i="20"/>
  <c r="AN62" i="20"/>
  <c r="AM62" i="20"/>
  <c r="AL62" i="20"/>
  <c r="BE61" i="20"/>
  <c r="BD61" i="20"/>
  <c r="BC61" i="20"/>
  <c r="BB61" i="20"/>
  <c r="BA61" i="20"/>
  <c r="AZ61" i="20"/>
  <c r="AY61" i="20"/>
  <c r="AX61" i="20"/>
  <c r="AW61" i="20"/>
  <c r="AV61" i="20"/>
  <c r="AU61" i="20"/>
  <c r="AT61" i="20"/>
  <c r="AS61" i="20"/>
  <c r="AR61" i="20"/>
  <c r="AQ61" i="20"/>
  <c r="AP61" i="20"/>
  <c r="AO61" i="20"/>
  <c r="AN61" i="20"/>
  <c r="AM61" i="20"/>
  <c r="AL61" i="20"/>
  <c r="BE60" i="20"/>
  <c r="BD60" i="20"/>
  <c r="BC60" i="20"/>
  <c r="BB60" i="20"/>
  <c r="BA60" i="20"/>
  <c r="AZ60" i="20"/>
  <c r="AY60" i="20"/>
  <c r="AX60" i="20"/>
  <c r="AW60" i="20"/>
  <c r="AV60" i="20"/>
  <c r="AU60" i="20"/>
  <c r="AT60" i="20"/>
  <c r="AS60" i="20"/>
  <c r="AR60" i="20"/>
  <c r="AQ60" i="20"/>
  <c r="AP60" i="20"/>
  <c r="AO60" i="20"/>
  <c r="AN60" i="20"/>
  <c r="AM60" i="20"/>
  <c r="AL60" i="20"/>
  <c r="BE59" i="20"/>
  <c r="BD59" i="20"/>
  <c r="BC59" i="20"/>
  <c r="BB59" i="20"/>
  <c r="BA59" i="20"/>
  <c r="AZ59" i="20"/>
  <c r="AY59" i="20"/>
  <c r="AX59" i="20"/>
  <c r="AW59" i="20"/>
  <c r="AV59" i="20"/>
  <c r="AU59" i="20"/>
  <c r="AT59" i="20"/>
  <c r="AS59" i="20"/>
  <c r="AR59" i="20"/>
  <c r="AQ59" i="20"/>
  <c r="AP59" i="20"/>
  <c r="AO59" i="20"/>
  <c r="AN59" i="20"/>
  <c r="AM59" i="20"/>
  <c r="AL59" i="20"/>
  <c r="BE58" i="20"/>
  <c r="BD58" i="20"/>
  <c r="BC58" i="20"/>
  <c r="BB58" i="20"/>
  <c r="BA58" i="20"/>
  <c r="AZ58" i="20"/>
  <c r="AY58" i="20"/>
  <c r="AX58" i="20"/>
  <c r="AW58" i="20"/>
  <c r="AV58" i="20"/>
  <c r="AU58" i="20"/>
  <c r="AT58" i="20"/>
  <c r="AS58" i="20"/>
  <c r="AR58" i="20"/>
  <c r="AQ58" i="20"/>
  <c r="AP58" i="20"/>
  <c r="AO58" i="20"/>
  <c r="AN58" i="20"/>
  <c r="AM58" i="20"/>
  <c r="AL58" i="20"/>
  <c r="BE57" i="20"/>
  <c r="BD57" i="20"/>
  <c r="BC57" i="20"/>
  <c r="BB57" i="20"/>
  <c r="BA57" i="20"/>
  <c r="AZ57" i="20"/>
  <c r="AY57" i="20"/>
  <c r="AX57" i="20"/>
  <c r="AW57" i="20"/>
  <c r="AV57" i="20"/>
  <c r="AU57" i="20"/>
  <c r="AT57" i="20"/>
  <c r="AS57" i="20"/>
  <c r="AR57" i="20"/>
  <c r="AQ57" i="20"/>
  <c r="AP57" i="20"/>
  <c r="AO57" i="20"/>
  <c r="AN57" i="20"/>
  <c r="AM57" i="20"/>
  <c r="AL57" i="20"/>
  <c r="BE56" i="20"/>
  <c r="BD56" i="20"/>
  <c r="BC56" i="20"/>
  <c r="BB56" i="20"/>
  <c r="BA56" i="20"/>
  <c r="AZ56" i="20"/>
  <c r="AY56" i="20"/>
  <c r="AX56" i="20"/>
  <c r="AW56" i="20"/>
  <c r="AV56" i="20"/>
  <c r="AU56" i="20"/>
  <c r="AT56" i="20"/>
  <c r="AS56" i="20"/>
  <c r="AR56" i="20"/>
  <c r="AQ56" i="20"/>
  <c r="AP56" i="20"/>
  <c r="AO56" i="20"/>
  <c r="AN56" i="20"/>
  <c r="AM56" i="20"/>
  <c r="AL56" i="20"/>
  <c r="BE55" i="20"/>
  <c r="BD55" i="20"/>
  <c r="BC55" i="20"/>
  <c r="BB55" i="20"/>
  <c r="BA55" i="20"/>
  <c r="AZ55" i="20"/>
  <c r="AY55" i="20"/>
  <c r="AX55" i="20"/>
  <c r="AW55" i="20"/>
  <c r="AV55" i="20"/>
  <c r="AU55" i="20"/>
  <c r="AT55" i="20"/>
  <c r="AS55" i="20"/>
  <c r="AR55" i="20"/>
  <c r="AQ55" i="20"/>
  <c r="AP55" i="20"/>
  <c r="AO55" i="20"/>
  <c r="AN55" i="20"/>
  <c r="AM55" i="20"/>
  <c r="AL55" i="20"/>
  <c r="BE54" i="20"/>
  <c r="BD54" i="20"/>
  <c r="BC54" i="20"/>
  <c r="BB54" i="20"/>
  <c r="BA54" i="20"/>
  <c r="AZ54" i="20"/>
  <c r="AY54" i="20"/>
  <c r="AX54" i="20"/>
  <c r="AW54" i="20"/>
  <c r="AV54" i="20"/>
  <c r="AU54" i="20"/>
  <c r="AT54" i="20"/>
  <c r="AS54" i="20"/>
  <c r="AR54" i="20"/>
  <c r="AQ54" i="20"/>
  <c r="AP54" i="20"/>
  <c r="AO54" i="20"/>
  <c r="AN54" i="20"/>
  <c r="AM54" i="20"/>
  <c r="AL54" i="20"/>
  <c r="BE53" i="20"/>
  <c r="BD53" i="20"/>
  <c r="BC53" i="20"/>
  <c r="BB53" i="20"/>
  <c r="BA53" i="20"/>
  <c r="AZ53" i="20"/>
  <c r="AY53" i="20"/>
  <c r="AX53" i="20"/>
  <c r="AW53" i="20"/>
  <c r="AV53" i="20"/>
  <c r="AU53" i="20"/>
  <c r="AT53" i="20"/>
  <c r="AS53" i="20"/>
  <c r="AR53" i="20"/>
  <c r="AQ53" i="20"/>
  <c r="AP53" i="20"/>
  <c r="AO53" i="20"/>
  <c r="AN53" i="20"/>
  <c r="AM53" i="20"/>
  <c r="AL53" i="20"/>
  <c r="BE52" i="20"/>
  <c r="BD52" i="20"/>
  <c r="BC52" i="20"/>
  <c r="BB52" i="20"/>
  <c r="BA52" i="20"/>
  <c r="AZ52" i="20"/>
  <c r="AY52" i="20"/>
  <c r="AX52" i="20"/>
  <c r="AW52" i="20"/>
  <c r="AV52" i="20"/>
  <c r="AU52" i="20"/>
  <c r="AT52" i="20"/>
  <c r="AS52" i="20"/>
  <c r="AR52" i="20"/>
  <c r="AQ52" i="20"/>
  <c r="AP52" i="20"/>
  <c r="AO52" i="20"/>
  <c r="AN52" i="20"/>
  <c r="AM52" i="20"/>
  <c r="AL52" i="20"/>
  <c r="BE51" i="20"/>
  <c r="BD51" i="20"/>
  <c r="BC51" i="20"/>
  <c r="BB51" i="20"/>
  <c r="BA51" i="20"/>
  <c r="AZ51" i="20"/>
  <c r="AY51" i="20"/>
  <c r="AX51" i="20"/>
  <c r="AW51" i="20"/>
  <c r="AV51" i="20"/>
  <c r="AU51" i="20"/>
  <c r="AT51" i="20"/>
  <c r="AS51" i="20"/>
  <c r="AR51" i="20"/>
  <c r="AQ51" i="20"/>
  <c r="AP51" i="20"/>
  <c r="AO51" i="20"/>
  <c r="AN51" i="20"/>
  <c r="AM51" i="20"/>
  <c r="AL51" i="20"/>
  <c r="BE50" i="20"/>
  <c r="BD50" i="20"/>
  <c r="BC50" i="20"/>
  <c r="BB50" i="20"/>
  <c r="BA50" i="20"/>
  <c r="AZ50" i="20"/>
  <c r="AY50" i="20"/>
  <c r="AX50" i="20"/>
  <c r="AW50" i="20"/>
  <c r="AV50" i="20"/>
  <c r="AU50" i="20"/>
  <c r="AT50" i="20"/>
  <c r="AS50" i="20"/>
  <c r="AR50" i="20"/>
  <c r="AQ50" i="20"/>
  <c r="AP50" i="20"/>
  <c r="AO50" i="20"/>
  <c r="AN50" i="20"/>
  <c r="AM50" i="20"/>
  <c r="AL50" i="20"/>
  <c r="BE49" i="20"/>
  <c r="BD49" i="20"/>
  <c r="BC49" i="20"/>
  <c r="BB49" i="20"/>
  <c r="BA49" i="20"/>
  <c r="AZ49" i="20"/>
  <c r="AY49" i="20"/>
  <c r="AX49" i="20"/>
  <c r="AW49" i="20"/>
  <c r="AV49" i="20"/>
  <c r="AU49" i="20"/>
  <c r="AT49" i="20"/>
  <c r="AS49" i="20"/>
  <c r="AR49" i="20"/>
  <c r="AQ49" i="20"/>
  <c r="AP49" i="20"/>
  <c r="AO49" i="20"/>
  <c r="AN49" i="20"/>
  <c r="AM49" i="20"/>
  <c r="AL49" i="20"/>
  <c r="BE48" i="20"/>
  <c r="BD48" i="20"/>
  <c r="BC48" i="20"/>
  <c r="BB48" i="20"/>
  <c r="BA48" i="20"/>
  <c r="AZ48" i="20"/>
  <c r="AY48" i="20"/>
  <c r="AX48" i="20"/>
  <c r="AW48" i="20"/>
  <c r="AV48" i="20"/>
  <c r="AU48" i="20"/>
  <c r="AT48" i="20"/>
  <c r="AS48" i="20"/>
  <c r="AR48" i="20"/>
  <c r="AQ48" i="20"/>
  <c r="AP48" i="20"/>
  <c r="AO48" i="20"/>
  <c r="AN48" i="20"/>
  <c r="AM48" i="20"/>
  <c r="BE47" i="20"/>
  <c r="BD47" i="20"/>
  <c r="BC47" i="20"/>
  <c r="BB47" i="20"/>
  <c r="BA47" i="20"/>
  <c r="AZ47" i="20"/>
  <c r="AY47" i="20"/>
  <c r="AX47" i="20"/>
  <c r="AW47" i="20"/>
  <c r="AV47" i="20"/>
  <c r="AU47" i="20"/>
  <c r="AT47" i="20"/>
  <c r="AS47" i="20"/>
  <c r="AR47" i="20"/>
  <c r="AQ47" i="20"/>
  <c r="AP47" i="20"/>
  <c r="AO47" i="20"/>
  <c r="AN47" i="20"/>
  <c r="AM47" i="20"/>
  <c r="J14" i="61" l="1"/>
  <c r="J14" i="60"/>
  <c r="J14" i="20"/>
  <c r="B19" i="20" s="1"/>
  <c r="Q12" i="20" s="1"/>
  <c r="B16" i="13"/>
  <c r="H134" i="149" l="1"/>
  <c r="H148" i="47"/>
  <c r="H160" i="47"/>
  <c r="H111" i="151"/>
  <c r="J124" i="149"/>
  <c r="J136" i="149"/>
  <c r="J138" i="47"/>
  <c r="J150" i="47"/>
  <c r="J162" i="47"/>
  <c r="I107" i="151"/>
  <c r="I132" i="149"/>
  <c r="I138" i="47"/>
  <c r="I146" i="47"/>
  <c r="I150" i="47"/>
  <c r="I158" i="47"/>
  <c r="I162" i="47"/>
  <c r="I166" i="47"/>
  <c r="I170" i="47"/>
  <c r="H123" i="149"/>
  <c r="H127" i="149"/>
  <c r="H131" i="149"/>
  <c r="H135" i="149"/>
  <c r="H139" i="149"/>
  <c r="H137" i="47"/>
  <c r="H141" i="47"/>
  <c r="H145" i="47"/>
  <c r="H149" i="47"/>
  <c r="H153" i="47"/>
  <c r="H157" i="47"/>
  <c r="H161" i="47"/>
  <c r="H165" i="47"/>
  <c r="H169" i="47"/>
  <c r="H107" i="151"/>
  <c r="J108" i="151"/>
  <c r="J110" i="151"/>
  <c r="J125" i="149"/>
  <c r="J129" i="149"/>
  <c r="J133" i="149"/>
  <c r="J137" i="149"/>
  <c r="J141" i="149"/>
  <c r="J139" i="47"/>
  <c r="J143" i="47"/>
  <c r="J147" i="47"/>
  <c r="J151" i="47"/>
  <c r="J155" i="47"/>
  <c r="J159" i="47"/>
  <c r="J163" i="47"/>
  <c r="J167" i="47"/>
  <c r="J171" i="47"/>
  <c r="I109" i="151"/>
  <c r="I125" i="149"/>
  <c r="I129" i="149"/>
  <c r="I133" i="149"/>
  <c r="I137" i="149"/>
  <c r="I141" i="149"/>
  <c r="I139" i="47"/>
  <c r="I143" i="47"/>
  <c r="I147" i="47"/>
  <c r="I151" i="47"/>
  <c r="I155" i="47"/>
  <c r="I159" i="47"/>
  <c r="I163" i="47"/>
  <c r="I167" i="47"/>
  <c r="I171" i="47"/>
  <c r="H126" i="149"/>
  <c r="H138" i="149"/>
  <c r="H144" i="47"/>
  <c r="H152" i="47"/>
  <c r="H164" i="47"/>
  <c r="J128" i="149"/>
  <c r="J140" i="149"/>
  <c r="J146" i="47"/>
  <c r="J158" i="47"/>
  <c r="J170" i="47"/>
  <c r="I124" i="149"/>
  <c r="I136" i="149"/>
  <c r="I142" i="47"/>
  <c r="I154" i="47"/>
  <c r="H124" i="149"/>
  <c r="H128" i="149"/>
  <c r="H132" i="149"/>
  <c r="H136" i="149"/>
  <c r="H140" i="149"/>
  <c r="H138" i="47"/>
  <c r="H142" i="47"/>
  <c r="H146" i="47"/>
  <c r="H150" i="47"/>
  <c r="H154" i="47"/>
  <c r="H158" i="47"/>
  <c r="H162" i="47"/>
  <c r="H166" i="47"/>
  <c r="H170" i="47"/>
  <c r="H109" i="151"/>
  <c r="J111" i="151"/>
  <c r="J126" i="149"/>
  <c r="J130" i="149"/>
  <c r="J134" i="149"/>
  <c r="J138" i="149"/>
  <c r="J140" i="47"/>
  <c r="J144" i="47"/>
  <c r="J148" i="47"/>
  <c r="J152" i="47"/>
  <c r="J156" i="47"/>
  <c r="J160" i="47"/>
  <c r="J164" i="47"/>
  <c r="J168" i="47"/>
  <c r="I111" i="151"/>
  <c r="I126" i="149"/>
  <c r="I130" i="149"/>
  <c r="I134" i="149"/>
  <c r="I138" i="149"/>
  <c r="I140" i="47"/>
  <c r="I144" i="47"/>
  <c r="I148" i="47"/>
  <c r="I152" i="47"/>
  <c r="I156" i="47"/>
  <c r="I160" i="47"/>
  <c r="I164" i="47"/>
  <c r="I168" i="47"/>
  <c r="A47" i="20" a="1"/>
  <c r="A47" i="20" s="1"/>
  <c r="J31" i="60" a="1"/>
  <c r="J31" i="60" s="1"/>
  <c r="J31" i="20" a="1"/>
  <c r="J31" i="20" s="1"/>
  <c r="J28" i="20" a="1"/>
  <c r="J28" i="20" s="1"/>
  <c r="J29" i="61" a="1"/>
  <c r="J29" i="61" s="1"/>
  <c r="J31" i="61" a="1"/>
  <c r="J31" i="61" s="1"/>
  <c r="J30" i="60" a="1"/>
  <c r="J30" i="60" s="1"/>
  <c r="J30" i="20" a="1"/>
  <c r="J30" i="20" s="1"/>
  <c r="J28" i="60" a="1"/>
  <c r="J28" i="60" s="1"/>
  <c r="J30" i="61" a="1"/>
  <c r="J30" i="61" s="1"/>
  <c r="J29" i="60" a="1"/>
  <c r="J29" i="60" s="1"/>
  <c r="J29" i="20" a="1"/>
  <c r="J29" i="20" s="1"/>
  <c r="J28" i="61" a="1"/>
  <c r="J28" i="61" s="1"/>
  <c r="AE171" i="47"/>
  <c r="AA171" i="47"/>
  <c r="W171" i="47"/>
  <c r="S171" i="47"/>
  <c r="O171" i="47"/>
  <c r="AE170" i="47"/>
  <c r="AA170" i="47"/>
  <c r="W170" i="47"/>
  <c r="S170" i="47"/>
  <c r="O170" i="47"/>
  <c r="AE169" i="47"/>
  <c r="AA169" i="47"/>
  <c r="W169" i="47"/>
  <c r="S169" i="47"/>
  <c r="O169" i="47"/>
  <c r="AE168" i="47"/>
  <c r="AA168" i="47"/>
  <c r="W168" i="47"/>
  <c r="S168" i="47"/>
  <c r="O168" i="47"/>
  <c r="AE167" i="47"/>
  <c r="AA167" i="47"/>
  <c r="W167" i="47"/>
  <c r="S167" i="47"/>
  <c r="O167" i="47"/>
  <c r="AE166" i="47"/>
  <c r="AA166" i="47"/>
  <c r="W166" i="47"/>
  <c r="S166" i="47"/>
  <c r="O166" i="47"/>
  <c r="AE165" i="47"/>
  <c r="AA165" i="47"/>
  <c r="W165" i="47"/>
  <c r="S165" i="47"/>
  <c r="O165" i="47"/>
  <c r="AE164" i="47"/>
  <c r="AA164" i="47"/>
  <c r="W164" i="47"/>
  <c r="S164" i="47"/>
  <c r="O164" i="47"/>
  <c r="AE163" i="47"/>
  <c r="AA163" i="47"/>
  <c r="W163" i="47"/>
  <c r="S163" i="47"/>
  <c r="O163" i="47"/>
  <c r="AE162" i="47"/>
  <c r="AA162" i="47"/>
  <c r="W162" i="47"/>
  <c r="S162" i="47"/>
  <c r="O162" i="47"/>
  <c r="AE161" i="47"/>
  <c r="AA161" i="47"/>
  <c r="W161" i="47"/>
  <c r="S161" i="47"/>
  <c r="O161" i="47"/>
  <c r="AE160" i="47"/>
  <c r="AA160" i="47"/>
  <c r="W160" i="47"/>
  <c r="S160" i="47"/>
  <c r="O160" i="47"/>
  <c r="AE159" i="47"/>
  <c r="AA159" i="47"/>
  <c r="W159" i="47"/>
  <c r="S159" i="47"/>
  <c r="O159" i="47"/>
  <c r="AE158" i="47"/>
  <c r="AA158" i="47"/>
  <c r="W158" i="47"/>
  <c r="S158" i="47"/>
  <c r="O158" i="47"/>
  <c r="AE157" i="47"/>
  <c r="AA157" i="47"/>
  <c r="W157" i="47"/>
  <c r="S157" i="47"/>
  <c r="AD171" i="47"/>
  <c r="Z171" i="47"/>
  <c r="V171" i="47"/>
  <c r="R171" i="47"/>
  <c r="N171" i="47"/>
  <c r="AD170" i="47"/>
  <c r="Z170" i="47"/>
  <c r="V170" i="47"/>
  <c r="R170" i="47"/>
  <c r="N170" i="47"/>
  <c r="AD169" i="47"/>
  <c r="Z169" i="47"/>
  <c r="V169" i="47"/>
  <c r="R169" i="47"/>
  <c r="N169" i="47"/>
  <c r="AD168" i="47"/>
  <c r="Z168" i="47"/>
  <c r="V168" i="47"/>
  <c r="R168" i="47"/>
  <c r="N168" i="47"/>
  <c r="AD167" i="47"/>
  <c r="Z167" i="47"/>
  <c r="V167" i="47"/>
  <c r="R167" i="47"/>
  <c r="N167" i="47"/>
  <c r="AD166" i="47"/>
  <c r="Z166" i="47"/>
  <c r="V166" i="47"/>
  <c r="R166" i="47"/>
  <c r="N166" i="47"/>
  <c r="AD165" i="47"/>
  <c r="Z165" i="47"/>
  <c r="V165" i="47"/>
  <c r="R165" i="47"/>
  <c r="N165" i="47"/>
  <c r="AD164" i="47"/>
  <c r="Z164" i="47"/>
  <c r="V164" i="47"/>
  <c r="R164" i="47"/>
  <c r="N164" i="47"/>
  <c r="AD163" i="47"/>
  <c r="Z163" i="47"/>
  <c r="V163" i="47"/>
  <c r="R163" i="47"/>
  <c r="N163" i="47"/>
  <c r="AD162" i="47"/>
  <c r="Z162" i="47"/>
  <c r="V162" i="47"/>
  <c r="R162" i="47"/>
  <c r="N162" i="47"/>
  <c r="AD161" i="47"/>
  <c r="Z161" i="47"/>
  <c r="V161" i="47"/>
  <c r="R161" i="47"/>
  <c r="N161" i="47"/>
  <c r="AD160" i="47"/>
  <c r="Z160" i="47"/>
  <c r="V160" i="47"/>
  <c r="R160" i="47"/>
  <c r="N160" i="47"/>
  <c r="AD159" i="47"/>
  <c r="Z159" i="47"/>
  <c r="V159" i="47"/>
  <c r="R159" i="47"/>
  <c r="N159" i="47"/>
  <c r="AD158" i="47"/>
  <c r="Z158" i="47"/>
  <c r="V158" i="47"/>
  <c r="R158" i="47"/>
  <c r="N158" i="47"/>
  <c r="AD157" i="47"/>
  <c r="Z157" i="47"/>
  <c r="V157" i="47"/>
  <c r="R157" i="47"/>
  <c r="N157" i="47"/>
  <c r="AD156" i="47"/>
  <c r="Z156" i="47"/>
  <c r="V156" i="47"/>
  <c r="R156" i="47"/>
  <c r="N156" i="47"/>
  <c r="AD155" i="47"/>
  <c r="Z155" i="47"/>
  <c r="V155" i="47"/>
  <c r="R155" i="47"/>
  <c r="N155" i="47"/>
  <c r="AC171" i="47"/>
  <c r="Y171" i="47"/>
  <c r="U171" i="47"/>
  <c r="Q171" i="47"/>
  <c r="M171" i="47"/>
  <c r="AC170" i="47"/>
  <c r="Y170" i="47"/>
  <c r="U170" i="47"/>
  <c r="Q170" i="47"/>
  <c r="M170" i="47"/>
  <c r="AC169" i="47"/>
  <c r="Y169" i="47"/>
  <c r="U169" i="47"/>
  <c r="Q169" i="47"/>
  <c r="M169" i="47"/>
  <c r="AC168" i="47"/>
  <c r="Y168" i="47"/>
  <c r="U168" i="47"/>
  <c r="Q168" i="47"/>
  <c r="M168" i="47"/>
  <c r="AC167" i="47"/>
  <c r="Y167" i="47"/>
  <c r="U167" i="47"/>
  <c r="Q167" i="47"/>
  <c r="M167" i="47"/>
  <c r="AC166" i="47"/>
  <c r="Y166" i="47"/>
  <c r="U166" i="47"/>
  <c r="Q166" i="47"/>
  <c r="M166" i="47"/>
  <c r="AC165" i="47"/>
  <c r="Y165" i="47"/>
  <c r="U165" i="47"/>
  <c r="Q165" i="47"/>
  <c r="M165" i="47"/>
  <c r="AC164" i="47"/>
  <c r="Y164" i="47"/>
  <c r="U164" i="47"/>
  <c r="Q164" i="47"/>
  <c r="M164" i="47"/>
  <c r="AC163" i="47"/>
  <c r="Y163" i="47"/>
  <c r="U163" i="47"/>
  <c r="Q163" i="47"/>
  <c r="M163" i="47"/>
  <c r="AC162" i="47"/>
  <c r="Y162" i="47"/>
  <c r="U162" i="47"/>
  <c r="Q162" i="47"/>
  <c r="M162" i="47"/>
  <c r="AC161" i="47"/>
  <c r="Y161" i="47"/>
  <c r="U161" i="47"/>
  <c r="Q161" i="47"/>
  <c r="M161" i="47"/>
  <c r="AC160" i="47"/>
  <c r="Y160" i="47"/>
  <c r="U160" i="47"/>
  <c r="Q160" i="47"/>
  <c r="M160" i="47"/>
  <c r="AC159" i="47"/>
  <c r="Y159" i="47"/>
  <c r="U159" i="47"/>
  <c r="Q159" i="47"/>
  <c r="M159" i="47"/>
  <c r="AC158" i="47"/>
  <c r="Y158" i="47"/>
  <c r="U158" i="47"/>
  <c r="Q158" i="47"/>
  <c r="M158" i="47"/>
  <c r="AC157" i="47"/>
  <c r="Y157" i="47"/>
  <c r="U157" i="47"/>
  <c r="Q157" i="47"/>
  <c r="M157" i="47"/>
  <c r="AC156" i="47"/>
  <c r="Y156" i="47"/>
  <c r="U156" i="47"/>
  <c r="Q156" i="47"/>
  <c r="M156" i="47"/>
  <c r="AC155" i="47"/>
  <c r="Y155" i="47"/>
  <c r="U155" i="47"/>
  <c r="Q155" i="47"/>
  <c r="M155" i="47"/>
  <c r="AB171" i="47"/>
  <c r="L171" i="47"/>
  <c r="P170" i="47"/>
  <c r="T169" i="47"/>
  <c r="X168" i="47"/>
  <c r="AB167" i="47"/>
  <c r="L167" i="47"/>
  <c r="P166" i="47"/>
  <c r="T165" i="47"/>
  <c r="X164" i="47"/>
  <c r="AB163" i="47"/>
  <c r="L163" i="47"/>
  <c r="P162" i="47"/>
  <c r="T161" i="47"/>
  <c r="X160" i="47"/>
  <c r="AB159" i="47"/>
  <c r="L159" i="47"/>
  <c r="P158" i="47"/>
  <c r="T157" i="47"/>
  <c r="AE156" i="47"/>
  <c r="W156" i="47"/>
  <c r="O156" i="47"/>
  <c r="AA155" i="47"/>
  <c r="S155" i="47"/>
  <c r="AE154" i="47"/>
  <c r="AA154" i="47"/>
  <c r="W154" i="47"/>
  <c r="S154" i="47"/>
  <c r="O154" i="47"/>
  <c r="AE153" i="47"/>
  <c r="AA153" i="47"/>
  <c r="W153" i="47"/>
  <c r="S153" i="47"/>
  <c r="O153" i="47"/>
  <c r="AE152" i="47"/>
  <c r="AA152" i="47"/>
  <c r="W152" i="47"/>
  <c r="S152" i="47"/>
  <c r="O152" i="47"/>
  <c r="AE151" i="47"/>
  <c r="AA151" i="47"/>
  <c r="W151" i="47"/>
  <c r="S151" i="47"/>
  <c r="O151" i="47"/>
  <c r="AE150" i="47"/>
  <c r="AA150" i="47"/>
  <c r="W150" i="47"/>
  <c r="S150" i="47"/>
  <c r="O150" i="47"/>
  <c r="AE149" i="47"/>
  <c r="AA149" i="47"/>
  <c r="W149" i="47"/>
  <c r="S149" i="47"/>
  <c r="O149" i="47"/>
  <c r="AE148" i="47"/>
  <c r="AA148" i="47"/>
  <c r="W148" i="47"/>
  <c r="S148" i="47"/>
  <c r="O148" i="47"/>
  <c r="AE147" i="47"/>
  <c r="AA147" i="47"/>
  <c r="W147" i="47"/>
  <c r="S147" i="47"/>
  <c r="O147" i="47"/>
  <c r="AE146" i="47"/>
  <c r="AA146" i="47"/>
  <c r="W146" i="47"/>
  <c r="S146" i="47"/>
  <c r="O146" i="47"/>
  <c r="AE145" i="47"/>
  <c r="AA145" i="47"/>
  <c r="W145" i="47"/>
  <c r="S145" i="47"/>
  <c r="O145" i="47"/>
  <c r="X171" i="47"/>
  <c r="AB170" i="47"/>
  <c r="L170" i="47"/>
  <c r="P169" i="47"/>
  <c r="T168" i="47"/>
  <c r="X167" i="47"/>
  <c r="AB166" i="47"/>
  <c r="L166" i="47"/>
  <c r="P165" i="47"/>
  <c r="T164" i="47"/>
  <c r="X163" i="47"/>
  <c r="AB162" i="47"/>
  <c r="L162" i="47"/>
  <c r="P161" i="47"/>
  <c r="T160" i="47"/>
  <c r="X159" i="47"/>
  <c r="AB158" i="47"/>
  <c r="L158" i="47"/>
  <c r="P157" i="47"/>
  <c r="AB156" i="47"/>
  <c r="T156" i="47"/>
  <c r="L156" i="47"/>
  <c r="X155" i="47"/>
  <c r="P155" i="47"/>
  <c r="AD154" i="47"/>
  <c r="Z154" i="47"/>
  <c r="V154" i="47"/>
  <c r="R154" i="47"/>
  <c r="N154" i="47"/>
  <c r="AD153" i="47"/>
  <c r="Z153" i="47"/>
  <c r="V153" i="47"/>
  <c r="R153" i="47"/>
  <c r="N153" i="47"/>
  <c r="AD152" i="47"/>
  <c r="Z152" i="47"/>
  <c r="V152" i="47"/>
  <c r="R152" i="47"/>
  <c r="N152" i="47"/>
  <c r="AD151" i="47"/>
  <c r="Z151" i="47"/>
  <c r="V151" i="47"/>
  <c r="R151" i="47"/>
  <c r="N151" i="47"/>
  <c r="AD150" i="47"/>
  <c r="Z150" i="47"/>
  <c r="V150" i="47"/>
  <c r="R150" i="47"/>
  <c r="N150" i="47"/>
  <c r="AD149" i="47"/>
  <c r="Z149" i="47"/>
  <c r="V149" i="47"/>
  <c r="R149" i="47"/>
  <c r="N149" i="47"/>
  <c r="AD148" i="47"/>
  <c r="Z148" i="47"/>
  <c r="V148" i="47"/>
  <c r="R148" i="47"/>
  <c r="N148" i="47"/>
  <c r="AD147" i="47"/>
  <c r="Z147" i="47"/>
  <c r="V147" i="47"/>
  <c r="R147" i="47"/>
  <c r="N147" i="47"/>
  <c r="AD146" i="47"/>
  <c r="Z146" i="47"/>
  <c r="V146" i="47"/>
  <c r="R146" i="47"/>
  <c r="N146" i="47"/>
  <c r="AD145" i="47"/>
  <c r="Z145" i="47"/>
  <c r="V145" i="47"/>
  <c r="R145" i="47"/>
  <c r="N145" i="47"/>
  <c r="AD144" i="47"/>
  <c r="Z144" i="47"/>
  <c r="V144" i="47"/>
  <c r="R144" i="47"/>
  <c r="N144" i="47"/>
  <c r="AD143" i="47"/>
  <c r="Z143" i="47"/>
  <c r="V143" i="47"/>
  <c r="R143" i="47"/>
  <c r="N143" i="47"/>
  <c r="AD142" i="47"/>
  <c r="T171" i="47"/>
  <c r="X170" i="47"/>
  <c r="AB169" i="47"/>
  <c r="L169" i="47"/>
  <c r="P168" i="47"/>
  <c r="T167" i="47"/>
  <c r="X166" i="47"/>
  <c r="AB165" i="47"/>
  <c r="L165" i="47"/>
  <c r="P164" i="47"/>
  <c r="T163" i="47"/>
  <c r="X162" i="47"/>
  <c r="AB161" i="47"/>
  <c r="L161" i="47"/>
  <c r="P160" i="47"/>
  <c r="T159" i="47"/>
  <c r="X158" i="47"/>
  <c r="AB157" i="47"/>
  <c r="O157" i="47"/>
  <c r="AA156" i="47"/>
  <c r="S156" i="47"/>
  <c r="AE155" i="47"/>
  <c r="W155" i="47"/>
  <c r="O155" i="47"/>
  <c r="AC154" i="47"/>
  <c r="Y154" i="47"/>
  <c r="U154" i="47"/>
  <c r="Q154" i="47"/>
  <c r="M154" i="47"/>
  <c r="AC153" i="47"/>
  <c r="Y153" i="47"/>
  <c r="U153" i="47"/>
  <c r="Q153" i="47"/>
  <c r="M153" i="47"/>
  <c r="AC152" i="47"/>
  <c r="Y152" i="47"/>
  <c r="U152" i="47"/>
  <c r="Q152" i="47"/>
  <c r="M152" i="47"/>
  <c r="AC151" i="47"/>
  <c r="Y151" i="47"/>
  <c r="U151" i="47"/>
  <c r="Q151" i="47"/>
  <c r="M151" i="47"/>
  <c r="AC150" i="47"/>
  <c r="Y150" i="47"/>
  <c r="U150" i="47"/>
  <c r="Q150" i="47"/>
  <c r="M150" i="47"/>
  <c r="AC149" i="47"/>
  <c r="Y149" i="47"/>
  <c r="U149" i="47"/>
  <c r="Q149" i="47"/>
  <c r="M149" i="47"/>
  <c r="AC148" i="47"/>
  <c r="Y148" i="47"/>
  <c r="U148" i="47"/>
  <c r="Q148" i="47"/>
  <c r="M148" i="47"/>
  <c r="AC147" i="47"/>
  <c r="Y147" i="47"/>
  <c r="U147" i="47"/>
  <c r="Q147" i="47"/>
  <c r="M147" i="47"/>
  <c r="AC146" i="47"/>
  <c r="Y146" i="47"/>
  <c r="U146" i="47"/>
  <c r="Q146" i="47"/>
  <c r="M146" i="47"/>
  <c r="AC145" i="47"/>
  <c r="Y145" i="47"/>
  <c r="U145" i="47"/>
  <c r="Q145" i="47"/>
  <c r="M145" i="47"/>
  <c r="AC144" i="47"/>
  <c r="Y144" i="47"/>
  <c r="U144" i="47"/>
  <c r="Q144" i="47"/>
  <c r="M144" i="47"/>
  <c r="AC143" i="47"/>
  <c r="Y143" i="47"/>
  <c r="U143" i="47"/>
  <c r="Q143" i="47"/>
  <c r="M143" i="47"/>
  <c r="AC142" i="47"/>
  <c r="Y142" i="47"/>
  <c r="P171" i="47"/>
  <c r="L168" i="47"/>
  <c r="AB164" i="47"/>
  <c r="X161" i="47"/>
  <c r="T158" i="47"/>
  <c r="P156" i="47"/>
  <c r="AB154" i="47"/>
  <c r="L154" i="47"/>
  <c r="P153" i="47"/>
  <c r="T152" i="47"/>
  <c r="X151" i="47"/>
  <c r="AB150" i="47"/>
  <c r="L150" i="47"/>
  <c r="P149" i="47"/>
  <c r="T148" i="47"/>
  <c r="X147" i="47"/>
  <c r="AB146" i="47"/>
  <c r="L146" i="47"/>
  <c r="P145" i="47"/>
  <c r="AA144" i="47"/>
  <c r="S144" i="47"/>
  <c r="AE143" i="47"/>
  <c r="W143" i="47"/>
  <c r="O143" i="47"/>
  <c r="AA142" i="47"/>
  <c r="V142" i="47"/>
  <c r="R142" i="47"/>
  <c r="N142" i="47"/>
  <c r="AD141" i="47"/>
  <c r="Z141" i="47"/>
  <c r="V141" i="47"/>
  <c r="R141" i="47"/>
  <c r="N141" i="47"/>
  <c r="AD140" i="47"/>
  <c r="Z140" i="47"/>
  <c r="V140" i="47"/>
  <c r="R140" i="47"/>
  <c r="N140" i="47"/>
  <c r="AD139" i="47"/>
  <c r="Z139" i="47"/>
  <c r="V139" i="47"/>
  <c r="R139" i="47"/>
  <c r="N139" i="47"/>
  <c r="AD138" i="47"/>
  <c r="Z138" i="47"/>
  <c r="V138" i="47"/>
  <c r="R138" i="47"/>
  <c r="N138" i="47"/>
  <c r="AD137" i="47"/>
  <c r="Z137" i="47"/>
  <c r="V137" i="47"/>
  <c r="R137" i="47"/>
  <c r="N137" i="47"/>
  <c r="AD141" i="149"/>
  <c r="Z141" i="149"/>
  <c r="V141" i="149"/>
  <c r="R141" i="149"/>
  <c r="N141" i="149"/>
  <c r="AD140" i="149"/>
  <c r="Z140" i="149"/>
  <c r="V140" i="149"/>
  <c r="R140" i="149"/>
  <c r="N140" i="149"/>
  <c r="AD139" i="149"/>
  <c r="Z139" i="149"/>
  <c r="V139" i="149"/>
  <c r="R139" i="149"/>
  <c r="N139" i="149"/>
  <c r="AD138" i="149"/>
  <c r="Z138" i="149"/>
  <c r="V138" i="149"/>
  <c r="R138" i="149"/>
  <c r="N138" i="149"/>
  <c r="AD137" i="149"/>
  <c r="Z137" i="149"/>
  <c r="V137" i="149"/>
  <c r="R137" i="149"/>
  <c r="N137" i="149"/>
  <c r="AD136" i="149"/>
  <c r="Z136" i="149"/>
  <c r="T170" i="47"/>
  <c r="P167" i="47"/>
  <c r="L164" i="47"/>
  <c r="AB160" i="47"/>
  <c r="X157" i="47"/>
  <c r="AB155" i="47"/>
  <c r="X154" i="47"/>
  <c r="AB153" i="47"/>
  <c r="L153" i="47"/>
  <c r="P152" i="47"/>
  <c r="T151" i="47"/>
  <c r="X150" i="47"/>
  <c r="AB149" i="47"/>
  <c r="L149" i="47"/>
  <c r="P148" i="47"/>
  <c r="T147" i="47"/>
  <c r="X146" i="47"/>
  <c r="AB145" i="47"/>
  <c r="L145" i="47"/>
  <c r="X144" i="47"/>
  <c r="P144" i="47"/>
  <c r="AB143" i="47"/>
  <c r="T143" i="47"/>
  <c r="L143" i="47"/>
  <c r="Z142" i="47"/>
  <c r="U142" i="47"/>
  <c r="Q142" i="47"/>
  <c r="M142" i="47"/>
  <c r="AC141" i="47"/>
  <c r="Y141" i="47"/>
  <c r="U141" i="47"/>
  <c r="Q141" i="47"/>
  <c r="M141" i="47"/>
  <c r="AC140" i="47"/>
  <c r="Y140" i="47"/>
  <c r="U140" i="47"/>
  <c r="Q140" i="47"/>
  <c r="M140" i="47"/>
  <c r="AC139" i="47"/>
  <c r="Y139" i="47"/>
  <c r="U139" i="47"/>
  <c r="Q139" i="47"/>
  <c r="M139" i="47"/>
  <c r="AC138" i="47"/>
  <c r="Y138" i="47"/>
  <c r="U138" i="47"/>
  <c r="Q138" i="47"/>
  <c r="M138" i="47"/>
  <c r="AC137" i="47"/>
  <c r="Y137" i="47"/>
  <c r="U137" i="47"/>
  <c r="Q137" i="47"/>
  <c r="M137" i="47"/>
  <c r="AC141" i="149"/>
  <c r="Y141" i="149"/>
  <c r="U141" i="149"/>
  <c r="Q141" i="149"/>
  <c r="M141" i="149"/>
  <c r="AC140" i="149"/>
  <c r="Y140" i="149"/>
  <c r="U140" i="149"/>
  <c r="Q140" i="149"/>
  <c r="M140" i="149"/>
  <c r="AC139" i="149"/>
  <c r="Y139" i="149"/>
  <c r="U139" i="149"/>
  <c r="Q139" i="149"/>
  <c r="M139" i="149"/>
  <c r="AC138" i="149"/>
  <c r="Y138" i="149"/>
  <c r="U138" i="149"/>
  <c r="Q138" i="149"/>
  <c r="M138" i="149"/>
  <c r="AC137" i="149"/>
  <c r="Y137" i="149"/>
  <c r="U137" i="149"/>
  <c r="Q137" i="149"/>
  <c r="M137" i="149"/>
  <c r="AC136" i="149"/>
  <c r="Y136" i="149"/>
  <c r="U136" i="149"/>
  <c r="Q136" i="149"/>
  <c r="M136" i="149"/>
  <c r="AC135" i="149"/>
  <c r="Y135" i="149"/>
  <c r="U135" i="149"/>
  <c r="Q135" i="149"/>
  <c r="M135" i="149"/>
  <c r="AC134" i="149"/>
  <c r="Y134" i="149"/>
  <c r="X169" i="47"/>
  <c r="T166" i="47"/>
  <c r="P163" i="47"/>
  <c r="L160" i="47"/>
  <c r="L157" i="47"/>
  <c r="T155" i="47"/>
  <c r="T154" i="47"/>
  <c r="X153" i="47"/>
  <c r="AB152" i="47"/>
  <c r="L152" i="47"/>
  <c r="P151" i="47"/>
  <c r="T150" i="47"/>
  <c r="X149" i="47"/>
  <c r="AB148" i="47"/>
  <c r="L148" i="47"/>
  <c r="P147" i="47"/>
  <c r="T146" i="47"/>
  <c r="X145" i="47"/>
  <c r="AE144" i="47"/>
  <c r="W144" i="47"/>
  <c r="O144" i="47"/>
  <c r="AA143" i="47"/>
  <c r="S143" i="47"/>
  <c r="AE142" i="47"/>
  <c r="X142" i="47"/>
  <c r="T142" i="47"/>
  <c r="P142" i="47"/>
  <c r="L142" i="47"/>
  <c r="AB141" i="47"/>
  <c r="X141" i="47"/>
  <c r="T141" i="47"/>
  <c r="P141" i="47"/>
  <c r="L141" i="47"/>
  <c r="AB140" i="47"/>
  <c r="X140" i="47"/>
  <c r="T140" i="47"/>
  <c r="P140" i="47"/>
  <c r="L140" i="47"/>
  <c r="AB139" i="47"/>
  <c r="X139" i="47"/>
  <c r="T139" i="47"/>
  <c r="P139" i="47"/>
  <c r="L139" i="47"/>
  <c r="AB138" i="47"/>
  <c r="X138" i="47"/>
  <c r="T138" i="47"/>
  <c r="P138" i="47"/>
  <c r="L138" i="47"/>
  <c r="AB137" i="47"/>
  <c r="X137" i="47"/>
  <c r="T137" i="47"/>
  <c r="P137" i="47"/>
  <c r="L137" i="47"/>
  <c r="AB141" i="149"/>
  <c r="X141" i="149"/>
  <c r="T141" i="149"/>
  <c r="P141" i="149"/>
  <c r="L141" i="149"/>
  <c r="AB140" i="149"/>
  <c r="X140" i="149"/>
  <c r="T140" i="149"/>
  <c r="P140" i="149"/>
  <c r="L140" i="149"/>
  <c r="AB139" i="149"/>
  <c r="X139" i="149"/>
  <c r="T139" i="149"/>
  <c r="P139" i="149"/>
  <c r="L139" i="149"/>
  <c r="AB138" i="149"/>
  <c r="X138" i="149"/>
  <c r="T138" i="149"/>
  <c r="P138" i="149"/>
  <c r="L138" i="149"/>
  <c r="AB137" i="149"/>
  <c r="X137" i="149"/>
  <c r="T137" i="149"/>
  <c r="P137" i="149"/>
  <c r="L137" i="149"/>
  <c r="AB136" i="149"/>
  <c r="X136" i="149"/>
  <c r="T136" i="149"/>
  <c r="P136" i="149"/>
  <c r="L136" i="149"/>
  <c r="AB135" i="149"/>
  <c r="X135" i="149"/>
  <c r="T135" i="149"/>
  <c r="P135" i="149"/>
  <c r="L135" i="149"/>
  <c r="AB134" i="149"/>
  <c r="X134" i="149"/>
  <c r="T134" i="149"/>
  <c r="AB168" i="47"/>
  <c r="X156" i="47"/>
  <c r="X152" i="47"/>
  <c r="T149" i="47"/>
  <c r="P146" i="47"/>
  <c r="L144" i="47"/>
  <c r="W142" i="47"/>
  <c r="AA141" i="47"/>
  <c r="AE140" i="47"/>
  <c r="O140" i="47"/>
  <c r="S139" i="47"/>
  <c r="W138" i="47"/>
  <c r="AA137" i="47"/>
  <c r="S141" i="149"/>
  <c r="W140" i="149"/>
  <c r="AA139" i="149"/>
  <c r="AE138" i="149"/>
  <c r="O138" i="149"/>
  <c r="S137" i="149"/>
  <c r="W136" i="149"/>
  <c r="O136" i="149"/>
  <c r="AA135" i="149"/>
  <c r="S135" i="149"/>
  <c r="AE134" i="149"/>
  <c r="W134" i="149"/>
  <c r="R134" i="149"/>
  <c r="N134" i="149"/>
  <c r="AD133" i="149"/>
  <c r="Z133" i="149"/>
  <c r="V133" i="149"/>
  <c r="R133" i="149"/>
  <c r="N133" i="149"/>
  <c r="AD132" i="149"/>
  <c r="Z132" i="149"/>
  <c r="V132" i="149"/>
  <c r="R132" i="149"/>
  <c r="N132" i="149"/>
  <c r="AD131" i="149"/>
  <c r="Z131" i="149"/>
  <c r="V131" i="149"/>
  <c r="R131" i="149"/>
  <c r="N131" i="149"/>
  <c r="AD130" i="149"/>
  <c r="Z130" i="149"/>
  <c r="V130" i="149"/>
  <c r="R130" i="149"/>
  <c r="N130" i="149"/>
  <c r="AD129" i="149"/>
  <c r="Z129" i="149"/>
  <c r="V129" i="149"/>
  <c r="R129" i="149"/>
  <c r="N129" i="149"/>
  <c r="AD128" i="149"/>
  <c r="Z128" i="149"/>
  <c r="V128" i="149"/>
  <c r="R128" i="149"/>
  <c r="N128" i="149"/>
  <c r="AD127" i="149"/>
  <c r="Z127" i="149"/>
  <c r="V127" i="149"/>
  <c r="R127" i="149"/>
  <c r="N127" i="149"/>
  <c r="AD126" i="149"/>
  <c r="Z126" i="149"/>
  <c r="V126" i="149"/>
  <c r="R126" i="149"/>
  <c r="N126" i="149"/>
  <c r="AD125" i="149"/>
  <c r="Z125" i="149"/>
  <c r="V125" i="149"/>
  <c r="R125" i="149"/>
  <c r="N125" i="149"/>
  <c r="AD124" i="149"/>
  <c r="Z124" i="149"/>
  <c r="V124" i="149"/>
  <c r="R124" i="149"/>
  <c r="N124" i="149"/>
  <c r="AD123" i="149"/>
  <c r="Z123" i="149"/>
  <c r="V123" i="149"/>
  <c r="R123" i="149"/>
  <c r="N123" i="149"/>
  <c r="Q107" i="151"/>
  <c r="U107" i="151"/>
  <c r="Y107" i="151"/>
  <c r="AC107" i="151"/>
  <c r="O108" i="151"/>
  <c r="S108" i="151"/>
  <c r="W108" i="151"/>
  <c r="AA108" i="151"/>
  <c r="AE108" i="151"/>
  <c r="Q109" i="151"/>
  <c r="U109" i="151"/>
  <c r="Y109" i="151"/>
  <c r="AC109" i="151"/>
  <c r="O110" i="151"/>
  <c r="S110" i="151"/>
  <c r="W110" i="151"/>
  <c r="AA110" i="151"/>
  <c r="AE110" i="151"/>
  <c r="Q111" i="151"/>
  <c r="U111" i="151"/>
  <c r="Y111" i="151"/>
  <c r="AC111" i="151"/>
  <c r="M108" i="151"/>
  <c r="L110" i="151"/>
  <c r="N135" i="149"/>
  <c r="AA133" i="149"/>
  <c r="O133" i="149"/>
  <c r="W132" i="149"/>
  <c r="AA131" i="149"/>
  <c r="O131" i="149"/>
  <c r="W130" i="149"/>
  <c r="AE129" i="149"/>
  <c r="S129" i="149"/>
  <c r="AA128" i="149"/>
  <c r="O128" i="149"/>
  <c r="S127" i="149"/>
  <c r="AA126" i="149"/>
  <c r="AE125" i="149"/>
  <c r="S125" i="149"/>
  <c r="W124" i="149"/>
  <c r="AE123" i="149"/>
  <c r="S123" i="149"/>
  <c r="T107" i="151"/>
  <c r="N108" i="151"/>
  <c r="Z108" i="151"/>
  <c r="X109" i="151"/>
  <c r="R110" i="151"/>
  <c r="AD110" i="151"/>
  <c r="AB111" i="151"/>
  <c r="L109" i="151"/>
  <c r="X165" i="47"/>
  <c r="L155" i="47"/>
  <c r="AB151" i="47"/>
  <c r="X148" i="47"/>
  <c r="T145" i="47"/>
  <c r="X143" i="47"/>
  <c r="S142" i="47"/>
  <c r="W141" i="47"/>
  <c r="AA140" i="47"/>
  <c r="AE139" i="47"/>
  <c r="O139" i="47"/>
  <c r="S138" i="47"/>
  <c r="W137" i="47"/>
  <c r="AE141" i="149"/>
  <c r="O141" i="149"/>
  <c r="S140" i="149"/>
  <c r="W139" i="149"/>
  <c r="AA138" i="149"/>
  <c r="AE137" i="149"/>
  <c r="O137" i="149"/>
  <c r="V136" i="149"/>
  <c r="N136" i="149"/>
  <c r="Z135" i="149"/>
  <c r="R135" i="149"/>
  <c r="AD134" i="149"/>
  <c r="V134" i="149"/>
  <c r="Q134" i="149"/>
  <c r="M134" i="149"/>
  <c r="AC133" i="149"/>
  <c r="Y133" i="149"/>
  <c r="U133" i="149"/>
  <c r="Q133" i="149"/>
  <c r="M133" i="149"/>
  <c r="AC132" i="149"/>
  <c r="Y132" i="149"/>
  <c r="U132" i="149"/>
  <c r="Q132" i="149"/>
  <c r="M132" i="149"/>
  <c r="AC131" i="149"/>
  <c r="Y131" i="149"/>
  <c r="U131" i="149"/>
  <c r="Q131" i="149"/>
  <c r="M131" i="149"/>
  <c r="AC130" i="149"/>
  <c r="Y130" i="149"/>
  <c r="U130" i="149"/>
  <c r="Q130" i="149"/>
  <c r="M130" i="149"/>
  <c r="AC129" i="149"/>
  <c r="Y129" i="149"/>
  <c r="U129" i="149"/>
  <c r="Q129" i="149"/>
  <c r="M129" i="149"/>
  <c r="AC128" i="149"/>
  <c r="Y128" i="149"/>
  <c r="U128" i="149"/>
  <c r="Q128" i="149"/>
  <c r="M128" i="149"/>
  <c r="AC127" i="149"/>
  <c r="Y127" i="149"/>
  <c r="U127" i="149"/>
  <c r="Q127" i="149"/>
  <c r="M127" i="149"/>
  <c r="AC126" i="149"/>
  <c r="Y126" i="149"/>
  <c r="U126" i="149"/>
  <c r="Q126" i="149"/>
  <c r="M126" i="149"/>
  <c r="AC125" i="149"/>
  <c r="Y125" i="149"/>
  <c r="U125" i="149"/>
  <c r="Q125" i="149"/>
  <c r="M125" i="149"/>
  <c r="AC124" i="149"/>
  <c r="Y124" i="149"/>
  <c r="U124" i="149"/>
  <c r="Q124" i="149"/>
  <c r="M124" i="149"/>
  <c r="AC123" i="149"/>
  <c r="Y123" i="149"/>
  <c r="U123" i="149"/>
  <c r="Q123" i="149"/>
  <c r="M123" i="149"/>
  <c r="N107" i="151"/>
  <c r="R107" i="151"/>
  <c r="V107" i="151"/>
  <c r="Z107" i="151"/>
  <c r="AD107" i="151"/>
  <c r="P108" i="151"/>
  <c r="T108" i="151"/>
  <c r="X108" i="151"/>
  <c r="AB108" i="151"/>
  <c r="N109" i="151"/>
  <c r="R109" i="151"/>
  <c r="V109" i="151"/>
  <c r="Z109" i="151"/>
  <c r="AD109" i="151"/>
  <c r="P110" i="151"/>
  <c r="T110" i="151"/>
  <c r="X110" i="151"/>
  <c r="AB110" i="151"/>
  <c r="N111" i="151"/>
  <c r="R111" i="151"/>
  <c r="V111" i="151"/>
  <c r="Z111" i="151"/>
  <c r="AD111" i="151"/>
  <c r="M109" i="151"/>
  <c r="L107" i="151"/>
  <c r="L111" i="151"/>
  <c r="P150" i="47"/>
  <c r="AB142" i="47"/>
  <c r="O141" i="47"/>
  <c r="W139" i="47"/>
  <c r="AE137" i="47"/>
  <c r="AA140" i="149"/>
  <c r="O139" i="149"/>
  <c r="W137" i="149"/>
  <c r="R136" i="149"/>
  <c r="V135" i="149"/>
  <c r="S134" i="149"/>
  <c r="AE133" i="149"/>
  <c r="S133" i="149"/>
  <c r="AA132" i="149"/>
  <c r="O132" i="149"/>
  <c r="W131" i="149"/>
  <c r="AE130" i="149"/>
  <c r="S130" i="149"/>
  <c r="AA129" i="149"/>
  <c r="AE128" i="149"/>
  <c r="S128" i="149"/>
  <c r="AA127" i="149"/>
  <c r="O127" i="149"/>
  <c r="W126" i="149"/>
  <c r="O126" i="149"/>
  <c r="W125" i="149"/>
  <c r="AE124" i="149"/>
  <c r="S124" i="149"/>
  <c r="AA123" i="149"/>
  <c r="O123" i="149"/>
  <c r="X107" i="151"/>
  <c r="R108" i="151"/>
  <c r="AD108" i="151"/>
  <c r="T109" i="151"/>
  <c r="N110" i="151"/>
  <c r="Z110" i="151"/>
  <c r="T111" i="151"/>
  <c r="M107" i="151"/>
  <c r="T162" i="47"/>
  <c r="P154" i="47"/>
  <c r="L151" i="47"/>
  <c r="AB147" i="47"/>
  <c r="AB144" i="47"/>
  <c r="P143" i="47"/>
  <c r="O142" i="47"/>
  <c r="S141" i="47"/>
  <c r="W140" i="47"/>
  <c r="AA139" i="47"/>
  <c r="AE138" i="47"/>
  <c r="O138" i="47"/>
  <c r="S137" i="47"/>
  <c r="AA141" i="149"/>
  <c r="AE140" i="149"/>
  <c r="O140" i="149"/>
  <c r="S139" i="149"/>
  <c r="W138" i="149"/>
  <c r="AA137" i="149"/>
  <c r="AE136" i="149"/>
  <c r="S136" i="149"/>
  <c r="AE135" i="149"/>
  <c r="W135" i="149"/>
  <c r="O135" i="149"/>
  <c r="AA134" i="149"/>
  <c r="U134" i="149"/>
  <c r="P134" i="149"/>
  <c r="L134" i="149"/>
  <c r="AB133" i="149"/>
  <c r="X133" i="149"/>
  <c r="T133" i="149"/>
  <c r="P133" i="149"/>
  <c r="L133" i="149"/>
  <c r="AB132" i="149"/>
  <c r="X132" i="149"/>
  <c r="T132" i="149"/>
  <c r="P132" i="149"/>
  <c r="L132" i="149"/>
  <c r="AB131" i="149"/>
  <c r="X131" i="149"/>
  <c r="T131" i="149"/>
  <c r="P131" i="149"/>
  <c r="L131" i="149"/>
  <c r="AB130" i="149"/>
  <c r="X130" i="149"/>
  <c r="T130" i="149"/>
  <c r="P130" i="149"/>
  <c r="L130" i="149"/>
  <c r="AB129" i="149"/>
  <c r="X129" i="149"/>
  <c r="T129" i="149"/>
  <c r="P129" i="149"/>
  <c r="L129" i="149"/>
  <c r="AB128" i="149"/>
  <c r="X128" i="149"/>
  <c r="T128" i="149"/>
  <c r="P128" i="149"/>
  <c r="L128" i="149"/>
  <c r="AB127" i="149"/>
  <c r="X127" i="149"/>
  <c r="T127" i="149"/>
  <c r="P127" i="149"/>
  <c r="L127" i="149"/>
  <c r="AB126" i="149"/>
  <c r="X126" i="149"/>
  <c r="T126" i="149"/>
  <c r="P126" i="149"/>
  <c r="L126" i="149"/>
  <c r="AB125" i="149"/>
  <c r="X125" i="149"/>
  <c r="T125" i="149"/>
  <c r="P125" i="149"/>
  <c r="L125" i="149"/>
  <c r="AB124" i="149"/>
  <c r="X124" i="149"/>
  <c r="T124" i="149"/>
  <c r="P124" i="149"/>
  <c r="L124" i="149"/>
  <c r="AB123" i="149"/>
  <c r="X123" i="149"/>
  <c r="T123" i="149"/>
  <c r="P123" i="149"/>
  <c r="L123" i="149"/>
  <c r="O107" i="151"/>
  <c r="S107" i="151"/>
  <c r="W107" i="151"/>
  <c r="AA107" i="151"/>
  <c r="AE107" i="151"/>
  <c r="Q108" i="151"/>
  <c r="U108" i="151"/>
  <c r="Y108" i="151"/>
  <c r="AC108" i="151"/>
  <c r="O109" i="151"/>
  <c r="S109" i="151"/>
  <c r="W109" i="151"/>
  <c r="AA109" i="151"/>
  <c r="AE109" i="151"/>
  <c r="Q110" i="151"/>
  <c r="U110" i="151"/>
  <c r="Y110" i="151"/>
  <c r="AC110" i="151"/>
  <c r="O111" i="151"/>
  <c r="S111" i="151"/>
  <c r="W111" i="151"/>
  <c r="AA111" i="151"/>
  <c r="AE111" i="151"/>
  <c r="M110" i="151"/>
  <c r="L108" i="151"/>
  <c r="P159" i="47"/>
  <c r="T153" i="47"/>
  <c r="L147" i="47"/>
  <c r="T144" i="47"/>
  <c r="AE141" i="47"/>
  <c r="S140" i="47"/>
  <c r="AA138" i="47"/>
  <c r="O137" i="47"/>
  <c r="W141" i="149"/>
  <c r="AE139" i="149"/>
  <c r="S138" i="149"/>
  <c r="AA136" i="149"/>
  <c r="AD135" i="149"/>
  <c r="Z134" i="149"/>
  <c r="O134" i="149"/>
  <c r="W133" i="149"/>
  <c r="AE132" i="149"/>
  <c r="S132" i="149"/>
  <c r="AE131" i="149"/>
  <c r="S131" i="149"/>
  <c r="AA130" i="149"/>
  <c r="O130" i="149"/>
  <c r="W129" i="149"/>
  <c r="O129" i="149"/>
  <c r="W128" i="149"/>
  <c r="AE127" i="149"/>
  <c r="W127" i="149"/>
  <c r="AE126" i="149"/>
  <c r="S126" i="149"/>
  <c r="AA125" i="149"/>
  <c r="O125" i="149"/>
  <c r="AA124" i="149"/>
  <c r="O124" i="149"/>
  <c r="W123" i="149"/>
  <c r="P107" i="151"/>
  <c r="AB107" i="151"/>
  <c r="V108" i="151"/>
  <c r="P109" i="151"/>
  <c r="AB109" i="151"/>
  <c r="V110" i="151"/>
  <c r="P111" i="151"/>
  <c r="X111" i="151"/>
  <c r="M111" i="151"/>
  <c r="G108" i="151"/>
  <c r="G164" i="47"/>
  <c r="G152" i="47"/>
  <c r="G141" i="47"/>
  <c r="G134" i="149"/>
  <c r="G109" i="151"/>
  <c r="G160" i="47"/>
  <c r="G148" i="47"/>
  <c r="G140" i="149"/>
  <c r="G129" i="149"/>
  <c r="G110" i="151"/>
  <c r="G162" i="47"/>
  <c r="G149" i="47"/>
  <c r="G139" i="47"/>
  <c r="G133" i="149"/>
  <c r="G137" i="149"/>
  <c r="G151" i="47"/>
  <c r="G165" i="47"/>
  <c r="G136" i="149"/>
  <c r="G161" i="47"/>
  <c r="G150" i="47"/>
  <c r="G138" i="47"/>
  <c r="G131" i="149"/>
  <c r="G169" i="47"/>
  <c r="G157" i="47"/>
  <c r="G145" i="47"/>
  <c r="G138" i="149"/>
  <c r="G126" i="149"/>
  <c r="G170" i="47"/>
  <c r="G159" i="47"/>
  <c r="G146" i="47"/>
  <c r="G130" i="149"/>
  <c r="G111" i="151"/>
  <c r="G143" i="47"/>
  <c r="G163" i="47"/>
  <c r="G132" i="149"/>
  <c r="G142" i="47"/>
  <c r="G171" i="47"/>
  <c r="G158" i="47"/>
  <c r="G147" i="47"/>
  <c r="G141" i="149"/>
  <c r="G128" i="149"/>
  <c r="G166" i="47"/>
  <c r="G154" i="47"/>
  <c r="G140" i="47"/>
  <c r="G135" i="149"/>
  <c r="G123" i="149"/>
  <c r="G168" i="47"/>
  <c r="G155" i="47"/>
  <c r="G144" i="47"/>
  <c r="G139" i="149"/>
  <c r="G127" i="149"/>
  <c r="G167" i="47"/>
  <c r="G156" i="47"/>
  <c r="G125" i="149"/>
  <c r="G137" i="47"/>
  <c r="G107" i="151"/>
  <c r="G153" i="47"/>
  <c r="G124" i="149"/>
  <c r="H130" i="149"/>
  <c r="H140" i="47"/>
  <c r="H156" i="47"/>
  <c r="H168" i="47"/>
  <c r="J109" i="151"/>
  <c r="J132" i="149"/>
  <c r="J142" i="47"/>
  <c r="J154" i="47"/>
  <c r="J166" i="47"/>
  <c r="I128" i="149"/>
  <c r="I140" i="149"/>
  <c r="H108" i="151"/>
  <c r="H125" i="149"/>
  <c r="H129" i="149"/>
  <c r="H133" i="149"/>
  <c r="H137" i="149"/>
  <c r="H141" i="149"/>
  <c r="H139" i="47"/>
  <c r="H143" i="47"/>
  <c r="H147" i="47"/>
  <c r="H151" i="47"/>
  <c r="H155" i="47"/>
  <c r="H159" i="47"/>
  <c r="H163" i="47"/>
  <c r="H167" i="47"/>
  <c r="H171" i="47"/>
  <c r="H110" i="151"/>
  <c r="J107" i="151"/>
  <c r="J123" i="149"/>
  <c r="J127" i="149"/>
  <c r="J131" i="149"/>
  <c r="J135" i="149"/>
  <c r="J139" i="149"/>
  <c r="J137" i="47"/>
  <c r="J141" i="47"/>
  <c r="J145" i="47"/>
  <c r="J149" i="47"/>
  <c r="J153" i="47"/>
  <c r="J157" i="47"/>
  <c r="J161" i="47"/>
  <c r="J165" i="47"/>
  <c r="J169" i="47"/>
  <c r="I110" i="151"/>
  <c r="I123" i="149"/>
  <c r="I127" i="149"/>
  <c r="I131" i="149"/>
  <c r="I135" i="149"/>
  <c r="I139" i="149"/>
  <c r="I137" i="47"/>
  <c r="I141" i="47"/>
  <c r="I145" i="47"/>
  <c r="I149" i="47"/>
  <c r="I153" i="47"/>
  <c r="I157" i="47"/>
  <c r="I161" i="47"/>
  <c r="I165" i="47"/>
  <c r="I169" i="47"/>
  <c r="I108" i="151"/>
  <c r="A61" i="20" l="1"/>
  <c r="A56" i="20"/>
  <c r="A124" i="20"/>
  <c r="A110" i="20"/>
  <c r="A112" i="20"/>
  <c r="A103" i="20"/>
  <c r="A54" i="20"/>
  <c r="A141" i="20"/>
  <c r="A120" i="20"/>
  <c r="A99" i="20"/>
  <c r="A77" i="20"/>
  <c r="A85" i="20"/>
  <c r="A55" i="20"/>
  <c r="A122" i="20"/>
  <c r="A81" i="20"/>
  <c r="A128" i="20"/>
  <c r="A95" i="20"/>
  <c r="A50" i="20"/>
  <c r="A83" i="20"/>
  <c r="A84" i="20"/>
  <c r="A91" i="20"/>
  <c r="A145" i="20"/>
  <c r="A137" i="20"/>
  <c r="A60" i="20"/>
  <c r="A114" i="20"/>
  <c r="A115" i="20"/>
  <c r="A144" i="20"/>
  <c r="A86" i="20"/>
  <c r="A87" i="20"/>
  <c r="A100" i="20"/>
  <c r="A93" i="20"/>
  <c r="A58" i="20"/>
  <c r="A138" i="20"/>
  <c r="A107" i="20"/>
  <c r="A72" i="20"/>
  <c r="A136" i="20"/>
  <c r="A97" i="20"/>
  <c r="A62" i="20"/>
  <c r="A126" i="20"/>
  <c r="A131" i="20"/>
  <c r="A57" i="20"/>
  <c r="A70" i="20"/>
  <c r="A135" i="20"/>
  <c r="A106" i="20"/>
  <c r="A111" i="20"/>
  <c r="A76" i="20"/>
  <c r="A140" i="20"/>
  <c r="A101" i="20"/>
  <c r="A66" i="20"/>
  <c r="A130" i="20"/>
  <c r="A48" i="20"/>
  <c r="A89" i="20"/>
  <c r="A102" i="20"/>
  <c r="A119" i="20"/>
  <c r="A132" i="20"/>
  <c r="A109" i="20"/>
  <c r="A74" i="20"/>
  <c r="A59" i="20"/>
  <c r="A123" i="20"/>
  <c r="A88" i="20"/>
  <c r="A49" i="20"/>
  <c r="A113" i="20"/>
  <c r="A78" i="20"/>
  <c r="A142" i="20"/>
  <c r="A64" i="20"/>
  <c r="A73" i="20"/>
  <c r="A118" i="20"/>
  <c r="A68" i="20"/>
  <c r="A63" i="20"/>
  <c r="A127" i="20"/>
  <c r="A92" i="20"/>
  <c r="A53" i="20"/>
  <c r="A117" i="20"/>
  <c r="A82" i="20"/>
  <c r="A146" i="20"/>
  <c r="A51" i="20"/>
  <c r="A80" i="20"/>
  <c r="A121" i="20"/>
  <c r="A134" i="20"/>
  <c r="A52" i="20"/>
  <c r="A147" i="20"/>
  <c r="A125" i="20"/>
  <c r="A90" i="20"/>
  <c r="A75" i="20"/>
  <c r="A139" i="20"/>
  <c r="A104" i="20"/>
  <c r="A65" i="20"/>
  <c r="A129" i="20"/>
  <c r="A94" i="20"/>
  <c r="A67" i="20"/>
  <c r="A96" i="20"/>
  <c r="A105" i="20"/>
  <c r="A71" i="20"/>
  <c r="A116" i="20"/>
  <c r="A79" i="20"/>
  <c r="A143" i="20"/>
  <c r="A108" i="20"/>
  <c r="A69" i="20"/>
  <c r="A133" i="20"/>
  <c r="A98" i="20"/>
  <c r="AL47" i="61" l="1"/>
  <c r="AL48" i="60"/>
  <c r="BE47" i="60"/>
  <c r="BD47" i="60"/>
  <c r="BC47" i="60"/>
  <c r="BB47" i="60"/>
  <c r="BA47" i="60"/>
  <c r="AZ47" i="60"/>
  <c r="AY47" i="60"/>
  <c r="AX47" i="60"/>
  <c r="AW47" i="60"/>
  <c r="AV47" i="60"/>
  <c r="AU47" i="60"/>
  <c r="AT47" i="60"/>
  <c r="AS47" i="60"/>
  <c r="AR47" i="60"/>
  <c r="AQ47" i="60"/>
  <c r="AP47" i="60"/>
  <c r="AO47" i="60"/>
  <c r="AN47" i="60"/>
  <c r="AM47" i="60"/>
  <c r="AL47" i="60"/>
  <c r="AL47" i="20"/>
  <c r="H136" i="47" l="1"/>
  <c r="I136" i="47"/>
  <c r="AD136" i="47"/>
  <c r="N136" i="47"/>
  <c r="Q136" i="47"/>
  <c r="AB136" i="47"/>
  <c r="L136" i="47"/>
  <c r="AE136" i="47"/>
  <c r="AA136" i="47"/>
  <c r="J136" i="47"/>
  <c r="Z136" i="47"/>
  <c r="AC136" i="47"/>
  <c r="M136" i="47"/>
  <c r="X136" i="47"/>
  <c r="O136" i="47"/>
  <c r="W136" i="47"/>
  <c r="V136" i="47"/>
  <c r="Y136" i="47"/>
  <c r="T136" i="47"/>
  <c r="R136" i="47"/>
  <c r="U136" i="47"/>
  <c r="P136" i="47"/>
  <c r="S136" i="47"/>
  <c r="G136" i="47"/>
  <c r="J122" i="149"/>
  <c r="Z122" i="149"/>
  <c r="AA122" i="149"/>
  <c r="Y122" i="149"/>
  <c r="AB122" i="149"/>
  <c r="L122" i="149"/>
  <c r="G122" i="149"/>
  <c r="V122" i="149"/>
  <c r="O122" i="149"/>
  <c r="U122" i="149"/>
  <c r="S122" i="149"/>
  <c r="X122" i="149"/>
  <c r="AE122" i="149"/>
  <c r="H122" i="149"/>
  <c r="R122" i="149"/>
  <c r="Q122" i="149"/>
  <c r="T122" i="149"/>
  <c r="W122" i="149"/>
  <c r="I122" i="149"/>
  <c r="AD122" i="149"/>
  <c r="N122" i="149"/>
  <c r="AC122" i="149"/>
  <c r="M122" i="149"/>
  <c r="P122" i="149"/>
  <c r="I106" i="151"/>
  <c r="O106" i="151"/>
  <c r="AE106" i="151"/>
  <c r="M106" i="151"/>
  <c r="P106" i="151"/>
  <c r="AC106" i="151"/>
  <c r="Z106" i="151"/>
  <c r="J106" i="151"/>
  <c r="S106" i="151"/>
  <c r="T106" i="151"/>
  <c r="Q106" i="151"/>
  <c r="W106" i="151"/>
  <c r="V106" i="151"/>
  <c r="X106" i="151"/>
  <c r="R106" i="151"/>
  <c r="U106" i="151"/>
  <c r="L106" i="151"/>
  <c r="G106" i="151"/>
  <c r="H106" i="151"/>
  <c r="AA106" i="151"/>
  <c r="AB106" i="151"/>
  <c r="AD106" i="151"/>
  <c r="Y106" i="151"/>
  <c r="N106" i="151"/>
  <c r="AE121" i="149"/>
  <c r="AA121" i="149"/>
  <c r="W121" i="149"/>
  <c r="S121" i="149"/>
  <c r="O121" i="149"/>
  <c r="J121" i="149"/>
  <c r="Y121" i="149"/>
  <c r="Q121" i="149"/>
  <c r="H121" i="149"/>
  <c r="X121" i="149"/>
  <c r="P121" i="149"/>
  <c r="AD121" i="149"/>
  <c r="Z121" i="149"/>
  <c r="V121" i="149"/>
  <c r="R121" i="149"/>
  <c r="N121" i="149"/>
  <c r="I121" i="149"/>
  <c r="AC121" i="149"/>
  <c r="U121" i="149"/>
  <c r="M121" i="149"/>
  <c r="AB121" i="149"/>
  <c r="T121" i="149"/>
  <c r="L121" i="149"/>
  <c r="G121" i="149"/>
  <c r="A18" i="13" l="1"/>
  <c r="B22" i="13" s="1"/>
  <c r="C22" i="13" s="1"/>
  <c r="O9" i="31" l="1"/>
  <c r="P9" i="31"/>
  <c r="Q9" i="31"/>
  <c r="O10" i="31"/>
  <c r="P10" i="31"/>
  <c r="Q10" i="31"/>
  <c r="O11" i="31"/>
  <c r="P11" i="31"/>
  <c r="Q11" i="31"/>
  <c r="O12" i="31"/>
  <c r="P12" i="31"/>
  <c r="Q12" i="31"/>
  <c r="O13" i="31"/>
  <c r="P13" i="31"/>
  <c r="Q13" i="31"/>
  <c r="O14" i="31"/>
  <c r="P14" i="31"/>
  <c r="Q14" i="31"/>
  <c r="O15" i="31"/>
  <c r="P15" i="31"/>
  <c r="Q15" i="31"/>
  <c r="O16" i="31"/>
  <c r="P16" i="31"/>
  <c r="Q16" i="31"/>
  <c r="O17" i="31"/>
  <c r="P17" i="31"/>
  <c r="Q17" i="31"/>
  <c r="O18" i="31"/>
  <c r="P18" i="31"/>
  <c r="Q18" i="31"/>
  <c r="O19" i="31"/>
  <c r="P19" i="31"/>
  <c r="Q19" i="31"/>
  <c r="O20" i="31"/>
  <c r="P20" i="31"/>
  <c r="Q20" i="31"/>
  <c r="O21" i="31"/>
  <c r="P21" i="31"/>
  <c r="Q21" i="31"/>
  <c r="O22" i="31"/>
  <c r="P22" i="31"/>
  <c r="Q22" i="31"/>
  <c r="O23" i="31"/>
  <c r="P23" i="31"/>
  <c r="Q23" i="31"/>
  <c r="O24" i="31"/>
  <c r="P24" i="31"/>
  <c r="Q24" i="31"/>
  <c r="O25" i="31"/>
  <c r="P25" i="31"/>
  <c r="Q25" i="31"/>
  <c r="O26" i="31"/>
  <c r="P26" i="31"/>
  <c r="Q26" i="31"/>
  <c r="O27" i="31"/>
  <c r="P27" i="31"/>
  <c r="Q27" i="31"/>
  <c r="O28" i="31"/>
  <c r="P28" i="31"/>
  <c r="Q28" i="31"/>
  <c r="O29" i="31"/>
  <c r="P29" i="31"/>
  <c r="Q29" i="31"/>
  <c r="O30" i="31"/>
  <c r="P30" i="31"/>
  <c r="Q30" i="31"/>
  <c r="O31" i="31"/>
  <c r="P31" i="31"/>
  <c r="Q31" i="31"/>
  <c r="O32" i="31"/>
  <c r="P32" i="31"/>
  <c r="Q32" i="31"/>
  <c r="O33" i="31"/>
  <c r="P33" i="31"/>
  <c r="Q33" i="31"/>
  <c r="O34" i="31"/>
  <c r="P34" i="31"/>
  <c r="Q34" i="31"/>
  <c r="O35" i="31"/>
  <c r="P35" i="31"/>
  <c r="Q35" i="31"/>
  <c r="O36" i="31"/>
  <c r="P36" i="31"/>
  <c r="Q36" i="31"/>
  <c r="O37" i="31"/>
  <c r="P37" i="31"/>
  <c r="Q37" i="31"/>
  <c r="O38" i="31"/>
  <c r="P38" i="31"/>
  <c r="Q38" i="31"/>
  <c r="O39" i="31"/>
  <c r="P39" i="31"/>
  <c r="Q39" i="31"/>
  <c r="O40" i="31"/>
  <c r="P40" i="31"/>
  <c r="Q40" i="31"/>
  <c r="O41" i="31"/>
  <c r="P41" i="31"/>
  <c r="Q41" i="31"/>
  <c r="O42" i="31"/>
  <c r="P42" i="31"/>
  <c r="Q42" i="31"/>
  <c r="O43" i="31"/>
  <c r="P43" i="31"/>
  <c r="Q43" i="31"/>
  <c r="O44" i="31"/>
  <c r="P44" i="31"/>
  <c r="Q44" i="31"/>
  <c r="O45" i="31"/>
  <c r="P45" i="31"/>
  <c r="Q45" i="31"/>
  <c r="O46" i="31"/>
  <c r="P46" i="31"/>
  <c r="Q46" i="31"/>
  <c r="O47" i="31"/>
  <c r="P47" i="31"/>
  <c r="Q47" i="31"/>
  <c r="O48" i="31"/>
  <c r="P48" i="31"/>
  <c r="Q48" i="31"/>
  <c r="O49" i="31"/>
  <c r="P49" i="31"/>
  <c r="Q49" i="31"/>
  <c r="O50" i="31"/>
  <c r="P50" i="31"/>
  <c r="Q50" i="31"/>
  <c r="O51" i="31"/>
  <c r="P51" i="31"/>
  <c r="Q51" i="31"/>
  <c r="O52" i="31"/>
  <c r="P52" i="31"/>
  <c r="Q52" i="31"/>
  <c r="O53" i="31"/>
  <c r="P53" i="31"/>
  <c r="Q53" i="31"/>
  <c r="O54" i="31"/>
  <c r="P54" i="31"/>
  <c r="Q54" i="31"/>
  <c r="O55" i="31"/>
  <c r="P55" i="31"/>
  <c r="Q55" i="31"/>
  <c r="O56" i="31"/>
  <c r="P56" i="31"/>
  <c r="Q56" i="31"/>
  <c r="O57" i="31"/>
  <c r="P57" i="31"/>
  <c r="Q57" i="31"/>
  <c r="O8" i="31"/>
  <c r="O7" i="31" s="1"/>
  <c r="P8" i="31"/>
  <c r="P7" i="31" s="1"/>
  <c r="Q8" i="31"/>
  <c r="Q7" i="31" s="1"/>
  <c r="C18" i="8" l="1"/>
  <c r="G10" i="8"/>
  <c r="G9" i="8"/>
  <c r="G8" i="8"/>
  <c r="D8" i="8" s="1"/>
  <c r="G7" i="8"/>
  <c r="B11" i="151"/>
  <c r="N1" i="151"/>
  <c r="L1" i="151"/>
  <c r="K1" i="151"/>
  <c r="B11" i="149"/>
  <c r="N1" i="149"/>
  <c r="L1" i="149"/>
  <c r="K1" i="149"/>
  <c r="N1" i="47"/>
  <c r="AL14" i="8"/>
  <c r="AL13" i="8"/>
  <c r="AL12" i="8"/>
  <c r="B39" i="60"/>
  <c r="F39" i="60" s="1"/>
  <c r="B39" i="61"/>
  <c r="F39" i="61" s="1"/>
  <c r="B39" i="20"/>
  <c r="F39" i="20" s="1"/>
  <c r="H47" i="60"/>
  <c r="H47" i="61"/>
  <c r="H47" i="20"/>
  <c r="F47" i="60"/>
  <c r="F48" i="60" s="1"/>
  <c r="F47" i="61"/>
  <c r="F47" i="20"/>
  <c r="A14" i="126"/>
  <c r="A15" i="126"/>
  <c r="A13" i="126"/>
  <c r="I29" i="126"/>
  <c r="H29" i="126"/>
  <c r="H16" i="126"/>
  <c r="G32" i="13"/>
  <c r="G33" i="13"/>
  <c r="G34" i="13"/>
  <c r="G35" i="13"/>
  <c r="G36" i="13"/>
  <c r="G37" i="13"/>
  <c r="G38" i="13"/>
  <c r="G39" i="13"/>
  <c r="G40" i="13"/>
  <c r="G41" i="13"/>
  <c r="G42" i="13"/>
  <c r="G43" i="13"/>
  <c r="G44" i="13"/>
  <c r="G45" i="13"/>
  <c r="G46" i="13"/>
  <c r="G47" i="13"/>
  <c r="G48" i="13"/>
  <c r="G49" i="13"/>
  <c r="G50" i="13"/>
  <c r="G31" i="13"/>
  <c r="H31" i="13"/>
  <c r="I31" i="13"/>
  <c r="H32" i="13"/>
  <c r="I32" i="13"/>
  <c r="H33" i="13"/>
  <c r="I33" i="13"/>
  <c r="H34" i="13"/>
  <c r="I34" i="13"/>
  <c r="H35" i="13"/>
  <c r="I35" i="13"/>
  <c r="H36" i="13"/>
  <c r="I36" i="13"/>
  <c r="H37" i="13"/>
  <c r="I37" i="13"/>
  <c r="H38" i="13"/>
  <c r="I38" i="13"/>
  <c r="H39" i="13"/>
  <c r="I39" i="13"/>
  <c r="H40" i="13"/>
  <c r="I40" i="13"/>
  <c r="H41" i="13"/>
  <c r="I41" i="13"/>
  <c r="H42" i="13"/>
  <c r="I42" i="13"/>
  <c r="H43" i="13"/>
  <c r="I43" i="13"/>
  <c r="H44" i="13"/>
  <c r="I44" i="13"/>
  <c r="H45" i="13"/>
  <c r="I45" i="13"/>
  <c r="H46" i="13"/>
  <c r="I46" i="13"/>
  <c r="H47" i="13"/>
  <c r="I47" i="13"/>
  <c r="H48" i="13"/>
  <c r="I48" i="13"/>
  <c r="H49" i="13"/>
  <c r="I49" i="13"/>
  <c r="H50" i="13"/>
  <c r="I50" i="13"/>
  <c r="B11" i="47"/>
  <c r="L1" i="47"/>
  <c r="K1" i="47"/>
  <c r="AL6" i="8"/>
  <c r="AL7" i="8"/>
  <c r="AL8" i="8"/>
  <c r="AL9" i="8"/>
  <c r="AL10" i="8"/>
  <c r="AL11" i="8"/>
  <c r="E9" i="31"/>
  <c r="F9" i="31"/>
  <c r="G9" i="31"/>
  <c r="H9" i="31"/>
  <c r="I9" i="31"/>
  <c r="J9" i="31"/>
  <c r="K9" i="31"/>
  <c r="L9" i="31"/>
  <c r="M9" i="31"/>
  <c r="N9" i="31"/>
  <c r="E10" i="31"/>
  <c r="F10" i="31"/>
  <c r="G10" i="31"/>
  <c r="H10" i="31"/>
  <c r="I10" i="31"/>
  <c r="J10" i="31"/>
  <c r="K10" i="31"/>
  <c r="L10" i="31"/>
  <c r="M10" i="31"/>
  <c r="N10" i="31"/>
  <c r="E11" i="31"/>
  <c r="F11" i="31"/>
  <c r="G11" i="31"/>
  <c r="H11" i="31"/>
  <c r="I11" i="31"/>
  <c r="J11" i="31"/>
  <c r="K11" i="31"/>
  <c r="L11" i="31"/>
  <c r="M11" i="31"/>
  <c r="N11" i="31"/>
  <c r="E50" i="31"/>
  <c r="F50" i="31"/>
  <c r="G50" i="31"/>
  <c r="H50" i="31"/>
  <c r="I50" i="31"/>
  <c r="J50" i="31"/>
  <c r="K50" i="31"/>
  <c r="L50" i="31"/>
  <c r="M50" i="31"/>
  <c r="N50" i="31"/>
  <c r="E51" i="31"/>
  <c r="F51" i="31"/>
  <c r="G51" i="31"/>
  <c r="H51" i="31"/>
  <c r="I51" i="31"/>
  <c r="J51" i="31"/>
  <c r="K51" i="31"/>
  <c r="L51" i="31"/>
  <c r="M51" i="31"/>
  <c r="N51" i="31"/>
  <c r="E52" i="31"/>
  <c r="F52" i="31"/>
  <c r="G52" i="31"/>
  <c r="H52" i="31"/>
  <c r="I52" i="31"/>
  <c r="J52" i="31"/>
  <c r="K52" i="31"/>
  <c r="L52" i="31"/>
  <c r="M52" i="31"/>
  <c r="N52" i="31"/>
  <c r="E53" i="31"/>
  <c r="F53" i="31"/>
  <c r="G53" i="31"/>
  <c r="H53" i="31"/>
  <c r="I53" i="31"/>
  <c r="J53" i="31"/>
  <c r="K53" i="31"/>
  <c r="L53" i="31"/>
  <c r="M53" i="31"/>
  <c r="N53" i="31"/>
  <c r="E54" i="31"/>
  <c r="F54" i="31"/>
  <c r="G54" i="31"/>
  <c r="H54" i="31"/>
  <c r="I54" i="31"/>
  <c r="J54" i="31"/>
  <c r="K54" i="31"/>
  <c r="L54" i="31"/>
  <c r="M54" i="31"/>
  <c r="N54" i="31"/>
  <c r="E55" i="31"/>
  <c r="F55" i="31"/>
  <c r="G55" i="31"/>
  <c r="H55" i="31"/>
  <c r="I55" i="31"/>
  <c r="J55" i="31"/>
  <c r="K55" i="31"/>
  <c r="L55" i="31"/>
  <c r="M55" i="31"/>
  <c r="N55" i="31"/>
  <c r="E56" i="31"/>
  <c r="F56" i="31"/>
  <c r="G56" i="31"/>
  <c r="H56" i="31"/>
  <c r="I56" i="31"/>
  <c r="J56" i="31"/>
  <c r="K56" i="31"/>
  <c r="L56" i="31"/>
  <c r="M56" i="31"/>
  <c r="N56" i="31"/>
  <c r="E57" i="31"/>
  <c r="F57" i="31"/>
  <c r="G57" i="31"/>
  <c r="H57" i="31"/>
  <c r="I57" i="31"/>
  <c r="J57" i="31"/>
  <c r="K57" i="31"/>
  <c r="L57" i="31"/>
  <c r="M57" i="31"/>
  <c r="N57" i="31"/>
  <c r="F8" i="31"/>
  <c r="F7" i="31" s="1"/>
  <c r="G8" i="31"/>
  <c r="G7" i="31" s="1"/>
  <c r="H8" i="31"/>
  <c r="H7" i="31" s="1"/>
  <c r="I8" i="31"/>
  <c r="I7" i="31" s="1"/>
  <c r="J8" i="31"/>
  <c r="J7" i="31" s="1"/>
  <c r="K8" i="31"/>
  <c r="K7" i="31" s="1"/>
  <c r="L8" i="31"/>
  <c r="L7" i="31" s="1"/>
  <c r="M8" i="31"/>
  <c r="M7" i="31" s="1"/>
  <c r="N8" i="31"/>
  <c r="N7" i="31" s="1"/>
  <c r="E8" i="31"/>
  <c r="E7" i="31" s="1"/>
  <c r="G12" i="31"/>
  <c r="L13" i="31"/>
  <c r="F15" i="31"/>
  <c r="K16" i="31"/>
  <c r="E18" i="31"/>
  <c r="N19" i="31"/>
  <c r="J23" i="31"/>
  <c r="I26" i="31"/>
  <c r="G28" i="31"/>
  <c r="L29" i="31"/>
  <c r="H33" i="31"/>
  <c r="F35" i="31"/>
  <c r="K36" i="31"/>
  <c r="E38" i="31"/>
  <c r="N39" i="31"/>
  <c r="F13" i="31"/>
  <c r="K14" i="31"/>
  <c r="E16" i="31"/>
  <c r="J17" i="31"/>
  <c r="K22" i="31"/>
  <c r="E24" i="31"/>
  <c r="N25" i="31"/>
  <c r="H27" i="31"/>
  <c r="F29" i="31"/>
  <c r="I32" i="31"/>
  <c r="G34" i="31"/>
  <c r="L35" i="31"/>
  <c r="J37" i="31"/>
  <c r="K21" i="31"/>
  <c r="K20" i="31"/>
  <c r="J14" i="31"/>
  <c r="I17" i="31"/>
  <c r="I30" i="31"/>
  <c r="I31" i="31"/>
  <c r="K23" i="31"/>
  <c r="G27" i="31"/>
  <c r="G40" i="31"/>
  <c r="G41" i="31"/>
  <c r="L32" i="31"/>
  <c r="K35" i="31"/>
  <c r="G39" i="31"/>
  <c r="F42" i="31"/>
  <c r="K43" i="31"/>
  <c r="E45" i="31"/>
  <c r="N46" i="31"/>
  <c r="G21" i="31"/>
  <c r="G20" i="31"/>
  <c r="L12" i="31"/>
  <c r="K15" i="31"/>
  <c r="G19" i="31"/>
  <c r="J22" i="31"/>
  <c r="I25" i="31"/>
  <c r="H28" i="31"/>
  <c r="H32" i="31"/>
  <c r="N38" i="31"/>
  <c r="E43" i="31"/>
  <c r="N44" i="31"/>
  <c r="H46" i="31"/>
  <c r="F12" i="31"/>
  <c r="L26" i="31"/>
  <c r="K33" i="31"/>
  <c r="I39" i="31"/>
  <c r="F43" i="31"/>
  <c r="E46" i="31"/>
  <c r="J12" i="31"/>
  <c r="N16" i="31"/>
  <c r="L22" i="31"/>
  <c r="J28" i="31"/>
  <c r="J32" i="31"/>
  <c r="N36" i="31"/>
  <c r="N48" i="31"/>
  <c r="N49" i="31"/>
  <c r="E44" i="31"/>
  <c r="L47" i="31"/>
  <c r="I13" i="31"/>
  <c r="N12" i="31"/>
  <c r="L18" i="31"/>
  <c r="K27" i="31"/>
  <c r="E23" i="31"/>
  <c r="I14" i="31"/>
  <c r="N15" i="31"/>
  <c r="H17" i="31"/>
  <c r="F19" i="31"/>
  <c r="I22" i="31"/>
  <c r="G24" i="31"/>
  <c r="L25" i="31"/>
  <c r="J27" i="31"/>
  <c r="K32" i="31"/>
  <c r="E34" i="31"/>
  <c r="N35" i="31"/>
  <c r="H37" i="31"/>
  <c r="F39" i="31"/>
  <c r="I12" i="31"/>
  <c r="N13" i="31"/>
  <c r="H15" i="31"/>
  <c r="M16" i="31"/>
  <c r="G18" i="31"/>
  <c r="L19" i="31"/>
  <c r="H23" i="31"/>
  <c r="F25" i="31"/>
  <c r="K26" i="31"/>
  <c r="E28" i="31"/>
  <c r="N29" i="31"/>
  <c r="J33" i="31"/>
  <c r="I36" i="31"/>
  <c r="G38" i="31"/>
  <c r="L39" i="31"/>
  <c r="E13" i="31"/>
  <c r="N18" i="31"/>
  <c r="F22" i="31"/>
  <c r="E25" i="31"/>
  <c r="L28" i="31"/>
  <c r="F34" i="31"/>
  <c r="E37" i="31"/>
  <c r="E48" i="31"/>
  <c r="E49" i="31"/>
  <c r="N42" i="31"/>
  <c r="H44" i="31"/>
  <c r="F46" i="31"/>
  <c r="K47" i="31"/>
  <c r="F14" i="31"/>
  <c r="E17" i="31"/>
  <c r="E31" i="31"/>
  <c r="E30" i="31"/>
  <c r="N26" i="31"/>
  <c r="K40" i="31"/>
  <c r="K41" i="31"/>
  <c r="J34" i="31"/>
  <c r="I37" i="31"/>
  <c r="H42" i="31"/>
  <c r="F44" i="31"/>
  <c r="K45" i="31"/>
  <c r="E47" i="31"/>
  <c r="E15" i="31"/>
  <c r="H22" i="31"/>
  <c r="K29" i="31"/>
  <c r="J36" i="31"/>
  <c r="L48" i="31"/>
  <c r="L49" i="31"/>
  <c r="K44" i="31"/>
  <c r="E20" i="31"/>
  <c r="E21" i="31"/>
  <c r="G30" i="31"/>
  <c r="G31" i="31"/>
  <c r="K25" i="31"/>
  <c r="E41" i="31"/>
  <c r="E40" i="31"/>
  <c r="F48" i="31"/>
  <c r="F49" i="31"/>
  <c r="K42" i="31"/>
  <c r="G46" i="31"/>
  <c r="I20" i="31"/>
  <c r="I21" i="31"/>
  <c r="I15" i="31"/>
  <c r="I19" i="31"/>
  <c r="M15" i="31"/>
  <c r="K31" i="31"/>
  <c r="K30" i="31"/>
  <c r="K12" i="31"/>
  <c r="J15" i="31"/>
  <c r="I18" i="31"/>
  <c r="N23" i="31"/>
  <c r="F27" i="31"/>
  <c r="G32" i="31"/>
  <c r="J35" i="31"/>
  <c r="I38" i="31"/>
  <c r="J13" i="31"/>
  <c r="I16" i="31"/>
  <c r="H19" i="31"/>
  <c r="I24" i="31"/>
  <c r="L27" i="31"/>
  <c r="F33" i="31"/>
  <c r="E36" i="31"/>
  <c r="H39" i="31"/>
  <c r="G15" i="31"/>
  <c r="I33" i="31"/>
  <c r="G47" i="31"/>
  <c r="F26" i="31"/>
  <c r="E33" i="31"/>
  <c r="E14" i="31"/>
  <c r="E22" i="31"/>
  <c r="H25" i="31"/>
  <c r="K28" i="31"/>
  <c r="L33" i="31"/>
  <c r="E12" i="31"/>
  <c r="N17" i="31"/>
  <c r="G26" i="31"/>
  <c r="J29" i="31"/>
  <c r="K34" i="31"/>
  <c r="N37" i="31"/>
  <c r="H12" i="31"/>
  <c r="F18" i="31"/>
  <c r="H24" i="31"/>
  <c r="H36" i="31"/>
  <c r="J42" i="31"/>
  <c r="I45" i="31"/>
  <c r="H16" i="31"/>
  <c r="G23" i="31"/>
  <c r="E29" i="31"/>
  <c r="L36" i="31"/>
  <c r="I43" i="31"/>
  <c r="L46" i="31"/>
  <c r="E35" i="31"/>
  <c r="N43" i="31"/>
  <c r="F24" i="31"/>
  <c r="E27" i="31"/>
  <c r="I27" i="31"/>
  <c r="I41" i="31"/>
  <c r="I40" i="31"/>
  <c r="L38" i="31"/>
  <c r="G44" i="31"/>
  <c r="F47" i="31"/>
  <c r="L14" i="31"/>
  <c r="K19" i="31"/>
  <c r="E19" i="31"/>
  <c r="H26" i="31"/>
  <c r="G33" i="31"/>
  <c r="K38" i="31"/>
  <c r="K37" i="31"/>
  <c r="J49" i="31"/>
  <c r="J48" i="31"/>
  <c r="J45" i="31"/>
  <c r="G42" i="31"/>
  <c r="L45" i="31"/>
  <c r="L42" i="31"/>
  <c r="H13" i="31"/>
  <c r="J19" i="31"/>
  <c r="N27" i="31"/>
  <c r="G36" i="31"/>
  <c r="G14" i="31"/>
  <c r="G22" i="31"/>
  <c r="I28" i="31"/>
  <c r="F37" i="31"/>
  <c r="L16" i="31"/>
  <c r="I29" i="31"/>
  <c r="G35" i="31"/>
  <c r="J44" i="31"/>
  <c r="K13" i="31"/>
  <c r="F32" i="31"/>
  <c r="H45" i="31"/>
  <c r="H38" i="31"/>
  <c r="K24" i="31"/>
  <c r="E26" i="31"/>
  <c r="I35" i="31"/>
  <c r="N32" i="31"/>
  <c r="H49" i="31"/>
  <c r="H48" i="31"/>
  <c r="G13" i="31"/>
  <c r="F16" i="31"/>
  <c r="K17" i="31"/>
  <c r="L17" i="31"/>
  <c r="I34" i="31"/>
  <c r="M12" i="31"/>
  <c r="K18" i="31"/>
  <c r="H35" i="31"/>
  <c r="M13" i="31"/>
  <c r="J26" i="31"/>
  <c r="J38" i="31"/>
  <c r="J46" i="31"/>
  <c r="J18" i="31"/>
  <c r="I47" i="31"/>
  <c r="F28" i="31"/>
  <c r="I42" i="31"/>
  <c r="H18" i="31"/>
  <c r="N28" i="31"/>
  <c r="J43" i="31"/>
  <c r="N47" i="31"/>
  <c r="G17" i="31"/>
  <c r="I23" i="31"/>
  <c r="K39" i="31"/>
  <c r="E32" i="31"/>
  <c r="I44" i="31"/>
  <c r="N41" i="31"/>
  <c r="N40" i="31"/>
  <c r="H41" i="31"/>
  <c r="H40" i="31"/>
  <c r="L31" i="31"/>
  <c r="L30" i="31"/>
  <c r="L24" i="31"/>
  <c r="F31" i="31"/>
  <c r="F30" i="31"/>
  <c r="J40" i="31"/>
  <c r="J41" i="31"/>
  <c r="F41" i="31"/>
  <c r="F40" i="31"/>
  <c r="M14" i="31"/>
  <c r="H29" i="31"/>
  <c r="L15" i="31"/>
  <c r="G43" i="31"/>
  <c r="G45" i="31"/>
  <c r="J24" i="31"/>
  <c r="E42" i="31"/>
  <c r="E39" i="31"/>
  <c r="L43" i="31"/>
  <c r="H47" i="31"/>
  <c r="N33" i="31"/>
  <c r="J20" i="31"/>
  <c r="J21" i="31"/>
  <c r="J16" i="31"/>
  <c r="F36" i="31"/>
  <c r="L21" i="31"/>
  <c r="L20" i="31"/>
  <c r="N22" i="31"/>
  <c r="N31" i="31"/>
  <c r="N30" i="31"/>
  <c r="F20" i="31"/>
  <c r="F21" i="31"/>
  <c r="L41" i="31"/>
  <c r="L40" i="31"/>
  <c r="J31" i="31"/>
  <c r="J30" i="31"/>
  <c r="J25" i="31"/>
  <c r="F23" i="31"/>
  <c r="L37" i="31"/>
  <c r="L23" i="31"/>
  <c r="F38" i="31"/>
  <c r="J47" i="31"/>
  <c r="H14" i="31"/>
  <c r="H34" i="31"/>
  <c r="G29" i="31"/>
  <c r="G37" i="31"/>
  <c r="N45" i="31"/>
  <c r="H43" i="31"/>
  <c r="H20" i="31"/>
  <c r="H21" i="31"/>
  <c r="J39" i="31"/>
  <c r="H31" i="31"/>
  <c r="H30" i="31"/>
  <c r="I49" i="31"/>
  <c r="I48" i="31"/>
  <c r="K49" i="31"/>
  <c r="K48" i="31"/>
  <c r="N24" i="31"/>
  <c r="N21" i="31"/>
  <c r="N20" i="31"/>
  <c r="G48" i="31"/>
  <c r="G49" i="31"/>
  <c r="M21" i="31"/>
  <c r="G16" i="31"/>
  <c r="F17" i="31"/>
  <c r="I46" i="31"/>
  <c r="L44" i="31"/>
  <c r="F45" i="31"/>
  <c r="N34" i="31"/>
  <c r="M48" i="31"/>
  <c r="G25" i="31"/>
  <c r="L34" i="31"/>
  <c r="N14" i="31"/>
  <c r="M40" i="31"/>
  <c r="M45" i="31"/>
  <c r="M42" i="31"/>
  <c r="M35" i="31"/>
  <c r="M17" i="31"/>
  <c r="M39" i="31"/>
  <c r="M22" i="31"/>
  <c r="M44" i="31"/>
  <c r="M38" i="31"/>
  <c r="M34" i="31"/>
  <c r="M26" i="31"/>
  <c r="K46" i="31"/>
  <c r="M23" i="31"/>
  <c r="M36" i="31"/>
  <c r="M30" i="31"/>
  <c r="M46" i="31"/>
  <c r="M43" i="31"/>
  <c r="M25" i="31"/>
  <c r="M20" i="31"/>
  <c r="M33" i="31"/>
  <c r="M41" i="31"/>
  <c r="M49" i="31"/>
  <c r="M24" i="31"/>
  <c r="M37" i="31"/>
  <c r="M29" i="31"/>
  <c r="M27" i="31"/>
  <c r="M31" i="31"/>
  <c r="M28" i="31"/>
  <c r="M47" i="31"/>
  <c r="M32" i="31"/>
  <c r="M19" i="31"/>
  <c r="M18" i="31"/>
  <c r="L40" i="149" l="1"/>
  <c r="L67" i="149"/>
  <c r="L53" i="149"/>
  <c r="L36" i="149"/>
  <c r="L19" i="149"/>
  <c r="L16" i="149"/>
  <c r="L13" i="149"/>
  <c r="L60" i="149"/>
  <c r="L43" i="149"/>
  <c r="L29" i="149"/>
  <c r="L60" i="151"/>
  <c r="L67" i="151"/>
  <c r="L53" i="151"/>
  <c r="L36" i="151"/>
  <c r="L19" i="151"/>
  <c r="L43" i="151"/>
  <c r="L29" i="151"/>
  <c r="L16" i="151"/>
  <c r="L13" i="151"/>
  <c r="K67" i="149"/>
  <c r="K53" i="149"/>
  <c r="K36" i="149"/>
  <c r="K19" i="149"/>
  <c r="K16" i="149"/>
  <c r="K13" i="149"/>
  <c r="K60" i="149"/>
  <c r="K43" i="149"/>
  <c r="K29" i="149"/>
  <c r="K60" i="151"/>
  <c r="K43" i="151"/>
  <c r="K29" i="151"/>
  <c r="K16" i="151"/>
  <c r="K67" i="151"/>
  <c r="K53" i="151"/>
  <c r="K36" i="151"/>
  <c r="K19" i="151"/>
  <c r="K13" i="151"/>
  <c r="K67" i="47"/>
  <c r="K36" i="47"/>
  <c r="K16" i="47"/>
  <c r="K43" i="47"/>
  <c r="K60" i="47"/>
  <c r="K29" i="47"/>
  <c r="K53" i="47"/>
  <c r="K19" i="47"/>
  <c r="K13" i="47"/>
  <c r="N53" i="149"/>
  <c r="N36" i="149"/>
  <c r="N37" i="149" s="1"/>
  <c r="N19" i="149"/>
  <c r="N60" i="149"/>
  <c r="N43" i="149"/>
  <c r="N29" i="149"/>
  <c r="N67" i="149"/>
  <c r="N47" i="151"/>
  <c r="N67" i="151"/>
  <c r="N53" i="151"/>
  <c r="N36" i="151"/>
  <c r="N19" i="151"/>
  <c r="N60" i="151"/>
  <c r="N43" i="151"/>
  <c r="N29" i="151"/>
  <c r="L22" i="47"/>
  <c r="L43" i="47"/>
  <c r="L67" i="47"/>
  <c r="L36" i="47"/>
  <c r="L53" i="47"/>
  <c r="L19" i="47"/>
  <c r="L13" i="47"/>
  <c r="L60" i="47"/>
  <c r="L29" i="47"/>
  <c r="L16" i="47"/>
  <c r="N53" i="47"/>
  <c r="N19" i="47"/>
  <c r="N60" i="47"/>
  <c r="N29" i="47"/>
  <c r="N67" i="47"/>
  <c r="N36" i="47"/>
  <c r="N43" i="47"/>
  <c r="B32" i="60"/>
  <c r="B32" i="20"/>
  <c r="B32" i="61"/>
  <c r="B7" i="11"/>
  <c r="B7" i="61"/>
  <c r="B7" i="126"/>
  <c r="G15" i="8"/>
  <c r="B15" i="8" s="1"/>
  <c r="C28" i="20"/>
  <c r="B47" i="61" a="1"/>
  <c r="A47" i="61" a="1"/>
  <c r="BD46" i="61"/>
  <c r="BB46" i="61"/>
  <c r="AZ46" i="61"/>
  <c r="AX46" i="61"/>
  <c r="AV46" i="61"/>
  <c r="AT46" i="61"/>
  <c r="AR46" i="61"/>
  <c r="AP46" i="61"/>
  <c r="AN46" i="61"/>
  <c r="AL46" i="61"/>
  <c r="AI46" i="61"/>
  <c r="AG46" i="61"/>
  <c r="AE46" i="61"/>
  <c r="AC46" i="61"/>
  <c r="AA46" i="61"/>
  <c r="Y46" i="61"/>
  <c r="W46" i="61"/>
  <c r="U46" i="61"/>
  <c r="S46" i="61"/>
  <c r="Q46" i="61"/>
  <c r="BE46" i="60"/>
  <c r="BC46" i="60"/>
  <c r="BA46" i="60"/>
  <c r="AY46" i="60"/>
  <c r="AW46" i="60"/>
  <c r="AU46" i="60"/>
  <c r="AS46" i="60"/>
  <c r="AQ46" i="60"/>
  <c r="AO46" i="60"/>
  <c r="AM46" i="60"/>
  <c r="AJ46" i="60"/>
  <c r="AH46" i="60"/>
  <c r="AF46" i="60"/>
  <c r="AD46" i="60"/>
  <c r="AB46" i="60"/>
  <c r="Z46" i="60"/>
  <c r="X46" i="60"/>
  <c r="V46" i="60"/>
  <c r="T46" i="60"/>
  <c r="R46" i="60"/>
  <c r="BE46" i="61"/>
  <c r="BC46" i="61"/>
  <c r="BA46" i="61"/>
  <c r="AY46" i="61"/>
  <c r="AW46" i="61"/>
  <c r="AU46" i="61"/>
  <c r="AQ46" i="61"/>
  <c r="AM46" i="61"/>
  <c r="AH46" i="61"/>
  <c r="AD46" i="61"/>
  <c r="Z46" i="61"/>
  <c r="V46" i="61"/>
  <c r="R46" i="61"/>
  <c r="BD46" i="60"/>
  <c r="AZ46" i="60"/>
  <c r="AV46" i="60"/>
  <c r="AR46" i="60"/>
  <c r="AN46" i="60"/>
  <c r="AI46" i="60"/>
  <c r="AE46" i="60"/>
  <c r="AA46" i="60"/>
  <c r="W46" i="60"/>
  <c r="S46" i="60"/>
  <c r="BB46" i="60"/>
  <c r="AT46" i="60"/>
  <c r="AP46" i="60"/>
  <c r="AG46" i="60"/>
  <c r="AC46" i="60"/>
  <c r="U46" i="60"/>
  <c r="AS46" i="61"/>
  <c r="AO46" i="61"/>
  <c r="AJ46" i="61"/>
  <c r="AF46" i="61"/>
  <c r="AB46" i="61"/>
  <c r="X46" i="61"/>
  <c r="T46" i="61"/>
  <c r="A47" i="60" a="1"/>
  <c r="AX46" i="60"/>
  <c r="AL46" i="60"/>
  <c r="Y46" i="60"/>
  <c r="Q46" i="60"/>
  <c r="B47" i="60" a="1"/>
  <c r="BE46" i="20"/>
  <c r="BA46" i="20"/>
  <c r="AW46" i="20"/>
  <c r="AS46" i="20"/>
  <c r="AO46" i="20"/>
  <c r="BC46" i="20"/>
  <c r="AU46" i="20"/>
  <c r="AM46" i="20"/>
  <c r="BD46" i="20"/>
  <c r="AZ46" i="20"/>
  <c r="AV46" i="20"/>
  <c r="AR46" i="20"/>
  <c r="AN46" i="20"/>
  <c r="AY46" i="20"/>
  <c r="AQ46" i="20"/>
  <c r="BB46" i="20"/>
  <c r="AX46" i="20"/>
  <c r="AT46" i="20"/>
  <c r="AP46" i="20"/>
  <c r="AL46" i="20"/>
  <c r="B47" i="20" a="1"/>
  <c r="O97" i="151"/>
  <c r="S97" i="151"/>
  <c r="W97" i="151"/>
  <c r="AA97" i="151"/>
  <c r="AE97" i="151"/>
  <c r="O98" i="151"/>
  <c r="S98" i="151"/>
  <c r="W98" i="151"/>
  <c r="AA98" i="151"/>
  <c r="AE98" i="151"/>
  <c r="O99" i="151"/>
  <c r="S99" i="151"/>
  <c r="W99" i="151"/>
  <c r="AA99" i="151"/>
  <c r="AE99" i="151"/>
  <c r="O100" i="151"/>
  <c r="S100" i="151"/>
  <c r="W100" i="151"/>
  <c r="AA100" i="151"/>
  <c r="AE100" i="151"/>
  <c r="O101" i="151"/>
  <c r="S101" i="151"/>
  <c r="W101" i="151"/>
  <c r="AA101" i="151"/>
  <c r="AE101" i="151"/>
  <c r="P96" i="151"/>
  <c r="T96" i="151"/>
  <c r="X96" i="151"/>
  <c r="AB96" i="151"/>
  <c r="U97" i="149"/>
  <c r="U99" i="149"/>
  <c r="U101" i="149"/>
  <c r="U103" i="149"/>
  <c r="U105" i="149"/>
  <c r="U107" i="149"/>
  <c r="U109" i="149"/>
  <c r="U111" i="149"/>
  <c r="U113" i="149"/>
  <c r="U115" i="149"/>
  <c r="U96" i="149"/>
  <c r="L97" i="151"/>
  <c r="P97" i="151"/>
  <c r="T97" i="151"/>
  <c r="X97" i="151"/>
  <c r="AB97" i="151"/>
  <c r="L98" i="151"/>
  <c r="P98" i="151"/>
  <c r="T98" i="151"/>
  <c r="X98" i="151"/>
  <c r="AB98" i="151"/>
  <c r="L99" i="151"/>
  <c r="P99" i="151"/>
  <c r="T99" i="151"/>
  <c r="X99" i="151"/>
  <c r="AB99" i="151"/>
  <c r="L100" i="151"/>
  <c r="P100" i="151"/>
  <c r="T100" i="151"/>
  <c r="X100" i="151"/>
  <c r="AB100" i="151"/>
  <c r="L101" i="151"/>
  <c r="P101" i="151"/>
  <c r="T101" i="151"/>
  <c r="X101" i="151"/>
  <c r="AB101" i="151"/>
  <c r="M96" i="151"/>
  <c r="Q96" i="151"/>
  <c r="U96" i="151"/>
  <c r="Y96" i="151"/>
  <c r="AC96" i="151"/>
  <c r="V97" i="149"/>
  <c r="V99" i="149"/>
  <c r="V101" i="149"/>
  <c r="V103" i="149"/>
  <c r="V105" i="149"/>
  <c r="V107" i="149"/>
  <c r="V109" i="149"/>
  <c r="V111" i="149"/>
  <c r="V113" i="149"/>
  <c r="V115" i="149"/>
  <c r="V96" i="149"/>
  <c r="M97" i="151"/>
  <c r="Q97" i="151"/>
  <c r="U97" i="151"/>
  <c r="Y97" i="151"/>
  <c r="Z97" i="151"/>
  <c r="N98" i="151"/>
  <c r="V98" i="151"/>
  <c r="AD98" i="151"/>
  <c r="R99" i="151"/>
  <c r="Z99" i="151"/>
  <c r="N100" i="151"/>
  <c r="V100" i="151"/>
  <c r="AD100" i="151"/>
  <c r="R101" i="151"/>
  <c r="Z101" i="151"/>
  <c r="O96" i="151"/>
  <c r="W96" i="151"/>
  <c r="AE96" i="151"/>
  <c r="V100" i="149"/>
  <c r="V104" i="149"/>
  <c r="V108" i="149"/>
  <c r="V112" i="149"/>
  <c r="V116" i="149"/>
  <c r="N97" i="151"/>
  <c r="AC97" i="151"/>
  <c r="Q98" i="151"/>
  <c r="Y98" i="151"/>
  <c r="M99" i="151"/>
  <c r="U99" i="151"/>
  <c r="AC99" i="151"/>
  <c r="Q100" i="151"/>
  <c r="Y100" i="151"/>
  <c r="M101" i="151"/>
  <c r="U101" i="151"/>
  <c r="AC101" i="151"/>
  <c r="R96" i="151"/>
  <c r="Z96" i="151"/>
  <c r="U98" i="149"/>
  <c r="U102" i="149"/>
  <c r="U106" i="149"/>
  <c r="U110" i="149"/>
  <c r="U114" i="149"/>
  <c r="R97" i="151"/>
  <c r="AD97" i="151"/>
  <c r="R98" i="151"/>
  <c r="Z98" i="151"/>
  <c r="N99" i="151"/>
  <c r="V99" i="151"/>
  <c r="AD99" i="151"/>
  <c r="R100" i="151"/>
  <c r="Z100" i="151"/>
  <c r="N101" i="151"/>
  <c r="V101" i="151"/>
  <c r="AD101" i="151"/>
  <c r="S96" i="151"/>
  <c r="AA96" i="151"/>
  <c r="V98" i="149"/>
  <c r="V102" i="149"/>
  <c r="V106" i="149"/>
  <c r="V110" i="149"/>
  <c r="V114" i="149"/>
  <c r="V97" i="151"/>
  <c r="M98" i="151"/>
  <c r="U98" i="151"/>
  <c r="AC98" i="151"/>
  <c r="Q99" i="151"/>
  <c r="Y99" i="151"/>
  <c r="M100" i="151"/>
  <c r="U100" i="151"/>
  <c r="AC100" i="151"/>
  <c r="Q101" i="151"/>
  <c r="Y101" i="151"/>
  <c r="N96" i="151"/>
  <c r="V96" i="151"/>
  <c r="AD96" i="151"/>
  <c r="U100" i="149"/>
  <c r="U104" i="149"/>
  <c r="U108" i="149"/>
  <c r="U112" i="149"/>
  <c r="U116" i="149"/>
  <c r="AD97" i="47"/>
  <c r="AD101" i="47"/>
  <c r="AD105" i="47"/>
  <c r="AD109" i="47"/>
  <c r="AD113" i="47"/>
  <c r="AD117" i="47"/>
  <c r="AD121" i="47"/>
  <c r="AD125" i="47"/>
  <c r="AD129" i="47"/>
  <c r="AC97" i="47"/>
  <c r="AC101" i="47"/>
  <c r="AC105" i="47"/>
  <c r="AC109" i="47"/>
  <c r="AC113" i="47"/>
  <c r="AC117" i="47"/>
  <c r="AC121" i="47"/>
  <c r="AC125" i="47"/>
  <c r="AC129" i="47"/>
  <c r="AD98" i="47"/>
  <c r="AD102" i="47"/>
  <c r="AD106" i="47"/>
  <c r="AD110" i="47"/>
  <c r="AD114" i="47"/>
  <c r="AD118" i="47"/>
  <c r="AD122" i="47"/>
  <c r="AD126" i="47"/>
  <c r="AD130" i="47"/>
  <c r="AC98" i="47"/>
  <c r="AC102" i="47"/>
  <c r="AC106" i="47"/>
  <c r="AC110" i="47"/>
  <c r="AC114" i="47"/>
  <c r="AC118" i="47"/>
  <c r="AC122" i="47"/>
  <c r="AC126" i="47"/>
  <c r="AC130" i="47"/>
  <c r="AD99" i="47"/>
  <c r="AD103" i="47"/>
  <c r="AD107" i="47"/>
  <c r="AD111" i="47"/>
  <c r="AD115" i="47"/>
  <c r="AD119" i="47"/>
  <c r="AD123" i="47"/>
  <c r="AD127" i="47"/>
  <c r="AD131" i="47"/>
  <c r="AC99" i="47"/>
  <c r="AC103" i="47"/>
  <c r="AC107" i="47"/>
  <c r="AC111" i="47"/>
  <c r="AC115" i="47"/>
  <c r="AC119" i="47"/>
  <c r="AC123" i="47"/>
  <c r="AC127" i="47"/>
  <c r="AC131" i="47"/>
  <c r="AD100" i="47"/>
  <c r="AD104" i="47"/>
  <c r="AD108" i="47"/>
  <c r="AD112" i="47"/>
  <c r="AD116" i="47"/>
  <c r="AD120" i="47"/>
  <c r="AD124" i="47"/>
  <c r="AD128" i="47"/>
  <c r="AD96" i="47"/>
  <c r="AC100" i="47"/>
  <c r="AC104" i="47"/>
  <c r="AC108" i="47"/>
  <c r="AC112" i="47"/>
  <c r="AC116" i="47"/>
  <c r="AC120" i="47"/>
  <c r="AC124" i="47"/>
  <c r="AC128" i="47"/>
  <c r="AC96" i="47"/>
  <c r="AD97" i="149"/>
  <c r="AD101" i="149"/>
  <c r="AD105" i="149"/>
  <c r="AD109" i="149"/>
  <c r="AD113" i="149"/>
  <c r="AD96" i="149"/>
  <c r="AC100" i="149"/>
  <c r="AC104" i="149"/>
  <c r="AC108" i="149"/>
  <c r="AC112" i="149"/>
  <c r="AC116" i="149"/>
  <c r="AC105" i="149"/>
  <c r="AC113" i="149"/>
  <c r="AC96" i="149"/>
  <c r="AD103" i="149"/>
  <c r="AD107" i="149"/>
  <c r="AD115" i="149"/>
  <c r="AC102" i="149"/>
  <c r="AC106" i="149"/>
  <c r="AC114" i="149"/>
  <c r="AD104" i="149"/>
  <c r="AD108" i="149"/>
  <c r="AD116" i="149"/>
  <c r="AC103" i="149"/>
  <c r="AC107" i="149"/>
  <c r="AC115" i="149"/>
  <c r="AD98" i="149"/>
  <c r="AD102" i="149"/>
  <c r="AD106" i="149"/>
  <c r="AD110" i="149"/>
  <c r="AD114" i="149"/>
  <c r="AC97" i="149"/>
  <c r="AC101" i="149"/>
  <c r="AC109" i="149"/>
  <c r="AD99" i="149"/>
  <c r="AD111" i="149"/>
  <c r="AC98" i="149"/>
  <c r="AC110" i="149"/>
  <c r="AD100" i="149"/>
  <c r="AD112" i="149"/>
  <c r="AC99" i="149"/>
  <c r="AC111" i="149"/>
  <c r="AG46" i="20"/>
  <c r="AC46" i="20"/>
  <c r="Y46" i="20"/>
  <c r="U46" i="20"/>
  <c r="Q46" i="20"/>
  <c r="AD46" i="20"/>
  <c r="V46" i="20"/>
  <c r="AJ46" i="20"/>
  <c r="AF46" i="20"/>
  <c r="AB46" i="20"/>
  <c r="X46" i="20"/>
  <c r="T46" i="20"/>
  <c r="AI46" i="20"/>
  <c r="AE46" i="20"/>
  <c r="AA46" i="20"/>
  <c r="W46" i="20"/>
  <c r="S46" i="20"/>
  <c r="AH46" i="20"/>
  <c r="Z46" i="20"/>
  <c r="R46" i="20"/>
  <c r="V97" i="47"/>
  <c r="V101" i="47"/>
  <c r="V105" i="47"/>
  <c r="V109" i="47"/>
  <c r="V117" i="47"/>
  <c r="V125" i="47"/>
  <c r="U97" i="47"/>
  <c r="U105" i="47"/>
  <c r="U113" i="47"/>
  <c r="U125" i="47"/>
  <c r="V98" i="47"/>
  <c r="V106" i="47"/>
  <c r="V114" i="47"/>
  <c r="V122" i="47"/>
  <c r="V130" i="47"/>
  <c r="U102" i="47"/>
  <c r="U110" i="47"/>
  <c r="U118" i="47"/>
  <c r="U126" i="47"/>
  <c r="V99" i="47"/>
  <c r="V111" i="47"/>
  <c r="V119" i="47"/>
  <c r="V127" i="47"/>
  <c r="U99" i="47"/>
  <c r="U111" i="47"/>
  <c r="U115" i="47"/>
  <c r="U123" i="47"/>
  <c r="U131" i="47"/>
  <c r="V100" i="47"/>
  <c r="V104" i="47"/>
  <c r="V108" i="47"/>
  <c r="V112" i="47"/>
  <c r="V116" i="47"/>
  <c r="V120" i="47"/>
  <c r="V124" i="47"/>
  <c r="V128" i="47"/>
  <c r="V96" i="47"/>
  <c r="U100" i="47"/>
  <c r="U104" i="47"/>
  <c r="U108" i="47"/>
  <c r="U112" i="47"/>
  <c r="U116" i="47"/>
  <c r="U120" i="47"/>
  <c r="U124" i="47"/>
  <c r="U128" i="47"/>
  <c r="U96" i="47"/>
  <c r="V113" i="47"/>
  <c r="V121" i="47"/>
  <c r="V129" i="47"/>
  <c r="U101" i="47"/>
  <c r="U109" i="47"/>
  <c r="U117" i="47"/>
  <c r="U121" i="47"/>
  <c r="U129" i="47"/>
  <c r="V102" i="47"/>
  <c r="V110" i="47"/>
  <c r="V118" i="47"/>
  <c r="V126" i="47"/>
  <c r="U98" i="47"/>
  <c r="U106" i="47"/>
  <c r="U114" i="47"/>
  <c r="U122" i="47"/>
  <c r="U130" i="47"/>
  <c r="V103" i="47"/>
  <c r="V107" i="47"/>
  <c r="V115" i="47"/>
  <c r="V123" i="47"/>
  <c r="V131" i="47"/>
  <c r="U103" i="47"/>
  <c r="U107" i="47"/>
  <c r="U119" i="47"/>
  <c r="U127" i="47"/>
  <c r="M96" i="47"/>
  <c r="M97" i="47"/>
  <c r="M98" i="47"/>
  <c r="M99" i="47"/>
  <c r="M100" i="47"/>
  <c r="M101" i="47"/>
  <c r="M102" i="47"/>
  <c r="M103" i="47"/>
  <c r="M104" i="47"/>
  <c r="M105" i="47"/>
  <c r="M106" i="47"/>
  <c r="M107" i="47"/>
  <c r="M108" i="47"/>
  <c r="M109" i="47"/>
  <c r="M110" i="47"/>
  <c r="M111" i="47"/>
  <c r="M112" i="47"/>
  <c r="M113" i="47"/>
  <c r="M114" i="47"/>
  <c r="M115" i="47"/>
  <c r="M116" i="47"/>
  <c r="M117" i="47"/>
  <c r="M118" i="47"/>
  <c r="M119" i="47"/>
  <c r="M120" i="47"/>
  <c r="M121" i="47"/>
  <c r="M122" i="47"/>
  <c r="M123" i="47"/>
  <c r="M124" i="47"/>
  <c r="M125" i="47"/>
  <c r="M126" i="47"/>
  <c r="M127" i="47"/>
  <c r="M128" i="47"/>
  <c r="M129" i="47"/>
  <c r="M130" i="47"/>
  <c r="M131" i="47"/>
  <c r="O96" i="47"/>
  <c r="O99" i="47"/>
  <c r="O101" i="47"/>
  <c r="O103" i="47"/>
  <c r="O105" i="47"/>
  <c r="O107" i="47"/>
  <c r="O109" i="47"/>
  <c r="O111" i="47"/>
  <c r="O113" i="47"/>
  <c r="O115" i="47"/>
  <c r="O117" i="47"/>
  <c r="O119" i="47"/>
  <c r="O121" i="47"/>
  <c r="O123" i="47"/>
  <c r="O125" i="47"/>
  <c r="O127" i="47"/>
  <c r="O129" i="47"/>
  <c r="O131" i="47"/>
  <c r="P96" i="47"/>
  <c r="P98" i="47"/>
  <c r="P100" i="47"/>
  <c r="P102" i="47"/>
  <c r="P104" i="47"/>
  <c r="P106" i="47"/>
  <c r="P108" i="47"/>
  <c r="P111" i="47"/>
  <c r="P112" i="47"/>
  <c r="P114" i="47"/>
  <c r="P117" i="47"/>
  <c r="N96" i="47"/>
  <c r="N97" i="47"/>
  <c r="N98" i="47"/>
  <c r="N99" i="47"/>
  <c r="N100" i="47"/>
  <c r="N101" i="47"/>
  <c r="N102" i="47"/>
  <c r="N103" i="47"/>
  <c r="N104" i="47"/>
  <c r="N105" i="47"/>
  <c r="N106" i="47"/>
  <c r="N107" i="47"/>
  <c r="N108" i="47"/>
  <c r="N109" i="47"/>
  <c r="N110" i="47"/>
  <c r="N111" i="47"/>
  <c r="N112" i="47"/>
  <c r="N113" i="47"/>
  <c r="N114" i="47"/>
  <c r="N115" i="47"/>
  <c r="N116" i="47"/>
  <c r="N117" i="47"/>
  <c r="N118" i="47"/>
  <c r="N119" i="47"/>
  <c r="N120" i="47"/>
  <c r="N121" i="47"/>
  <c r="N122" i="47"/>
  <c r="N123" i="47"/>
  <c r="N124" i="47"/>
  <c r="N125" i="47"/>
  <c r="N126" i="47"/>
  <c r="N127" i="47"/>
  <c r="N128" i="47"/>
  <c r="N129" i="47"/>
  <c r="N130" i="47"/>
  <c r="N131" i="47"/>
  <c r="O97" i="47"/>
  <c r="O98" i="47"/>
  <c r="O100" i="47"/>
  <c r="O102" i="47"/>
  <c r="O104" i="47"/>
  <c r="O106" i="47"/>
  <c r="O108" i="47"/>
  <c r="O110" i="47"/>
  <c r="O112" i="47"/>
  <c r="O114" i="47"/>
  <c r="O116" i="47"/>
  <c r="O118" i="47"/>
  <c r="O120" i="47"/>
  <c r="O122" i="47"/>
  <c r="O124" i="47"/>
  <c r="O126" i="47"/>
  <c r="O128" i="47"/>
  <c r="O130" i="47"/>
  <c r="P97" i="47"/>
  <c r="P99" i="47"/>
  <c r="P101" i="47"/>
  <c r="P103" i="47"/>
  <c r="P105" i="47"/>
  <c r="P107" i="47"/>
  <c r="P109" i="47"/>
  <c r="P110" i="47"/>
  <c r="P113" i="47"/>
  <c r="P115" i="47"/>
  <c r="P116" i="47"/>
  <c r="P128" i="47"/>
  <c r="P121" i="47"/>
  <c r="P125" i="47"/>
  <c r="P129" i="47"/>
  <c r="P118" i="47"/>
  <c r="P122" i="47"/>
  <c r="P126" i="47"/>
  <c r="P130" i="47"/>
  <c r="P119" i="47"/>
  <c r="P123" i="47"/>
  <c r="P127" i="47"/>
  <c r="P131" i="47"/>
  <c r="P120" i="47"/>
  <c r="P124" i="47"/>
  <c r="K31" i="13"/>
  <c r="J31" i="13"/>
  <c r="J33" i="13"/>
  <c r="J32" i="13"/>
  <c r="K32" i="13"/>
  <c r="K35" i="13"/>
  <c r="J34" i="13"/>
  <c r="J35" i="13"/>
  <c r="B7" i="20"/>
  <c r="B7" i="13"/>
  <c r="B7" i="60"/>
  <c r="J50" i="13"/>
  <c r="J45" i="13"/>
  <c r="I9" i="13"/>
  <c r="B7" i="34"/>
  <c r="B7" i="121"/>
  <c r="B7" i="124"/>
  <c r="C47" i="60"/>
  <c r="L47" i="60" s="1"/>
  <c r="C48" i="60"/>
  <c r="L48" i="60" s="1"/>
  <c r="H48" i="60" s="1"/>
  <c r="C47" i="61"/>
  <c r="L47" i="61" s="1"/>
  <c r="C47" i="20"/>
  <c r="L47" i="20" s="1"/>
  <c r="N63" i="151"/>
  <c r="N23" i="151"/>
  <c r="G47" i="61"/>
  <c r="F48" i="61"/>
  <c r="N70" i="151"/>
  <c r="S129" i="47"/>
  <c r="N32" i="151"/>
  <c r="N57" i="151"/>
  <c r="N64" i="151"/>
  <c r="J106" i="149"/>
  <c r="J36" i="13"/>
  <c r="J40" i="13"/>
  <c r="J44" i="13"/>
  <c r="K48" i="13"/>
  <c r="J48" i="13"/>
  <c r="L57" i="47"/>
  <c r="L32" i="47"/>
  <c r="L70" i="47"/>
  <c r="G47" i="20"/>
  <c r="F48" i="20"/>
  <c r="F49" i="20" s="1"/>
  <c r="N32" i="47"/>
  <c r="N46" i="47"/>
  <c r="N63" i="47"/>
  <c r="AE107" i="47"/>
  <c r="R129" i="47"/>
  <c r="AB131" i="47"/>
  <c r="G16" i="8"/>
  <c r="B16" i="8" s="1"/>
  <c r="L117" i="47"/>
  <c r="W114" i="47"/>
  <c r="X97" i="47"/>
  <c r="X107" i="47"/>
  <c r="Y117" i="47"/>
  <c r="AE121" i="47"/>
  <c r="AE124" i="47"/>
  <c r="Y128" i="47"/>
  <c r="R111" i="47"/>
  <c r="Z120" i="47"/>
  <c r="Z127" i="47"/>
  <c r="R96" i="47"/>
  <c r="T118" i="47"/>
  <c r="L128" i="47"/>
  <c r="AE100" i="47"/>
  <c r="AE116" i="47"/>
  <c r="W127" i="47"/>
  <c r="S97" i="47"/>
  <c r="S107" i="47"/>
  <c r="S115" i="47"/>
  <c r="AA121" i="47"/>
  <c r="AA126" i="47"/>
  <c r="AE96" i="47"/>
  <c r="AB109" i="47"/>
  <c r="L123" i="47"/>
  <c r="S131" i="47"/>
  <c r="AE109" i="47"/>
  <c r="L131" i="47"/>
  <c r="AA100" i="47"/>
  <c r="W111" i="47"/>
  <c r="X110" i="47"/>
  <c r="AB119" i="47"/>
  <c r="AB125" i="47"/>
  <c r="Y120" i="47"/>
  <c r="AE125" i="47"/>
  <c r="R101" i="47"/>
  <c r="Z119" i="47"/>
  <c r="AA129" i="47"/>
  <c r="AB106" i="47"/>
  <c r="T125" i="47"/>
  <c r="AE104" i="47"/>
  <c r="W123" i="47"/>
  <c r="S108" i="47"/>
  <c r="Q119" i="47"/>
  <c r="AA125" i="47"/>
  <c r="AB130" i="47"/>
  <c r="AB98" i="47"/>
  <c r="L122" i="47"/>
  <c r="AE131" i="47"/>
  <c r="T129" i="47"/>
  <c r="L114" i="47"/>
  <c r="AA112" i="47"/>
  <c r="R118" i="47"/>
  <c r="Y109" i="47"/>
  <c r="Y119" i="47"/>
  <c r="R112" i="47"/>
  <c r="Z125" i="47"/>
  <c r="AB116" i="47"/>
  <c r="W120" i="47"/>
  <c r="S99" i="47"/>
  <c r="S113" i="47"/>
  <c r="AA123" i="47"/>
  <c r="R131" i="47"/>
  <c r="AB113" i="47"/>
  <c r="Y129" i="47"/>
  <c r="L96" i="47"/>
  <c r="AA106" i="47"/>
  <c r="AB121" i="47"/>
  <c r="Y127" i="47"/>
  <c r="Z122" i="47"/>
  <c r="AB96" i="47"/>
  <c r="Y131" i="47"/>
  <c r="S112" i="47"/>
  <c r="Q127" i="47"/>
  <c r="AB97" i="47"/>
  <c r="T128" i="47"/>
  <c r="Y97" i="47"/>
  <c r="R105" i="47"/>
  <c r="L98" i="47"/>
  <c r="X114" i="47"/>
  <c r="R116" i="47"/>
  <c r="T120" i="47"/>
  <c r="AE114" i="47"/>
  <c r="S104" i="47"/>
  <c r="L119" i="47"/>
  <c r="AE111" i="47"/>
  <c r="X104" i="47"/>
  <c r="Y115" i="47"/>
  <c r="W125" i="47"/>
  <c r="AA120" i="47"/>
  <c r="AB105" i="47"/>
  <c r="L106" i="47"/>
  <c r="R123" i="47"/>
  <c r="Y124" i="47"/>
  <c r="T124" i="47"/>
  <c r="Z130" i="47"/>
  <c r="Q123" i="47"/>
  <c r="T127" i="47"/>
  <c r="Q106" i="47"/>
  <c r="R100" i="47"/>
  <c r="S101" i="47"/>
  <c r="AE99" i="47"/>
  <c r="W116" i="47"/>
  <c r="AA118" i="47"/>
  <c r="AE103" i="47"/>
  <c r="L71" i="151"/>
  <c r="L64" i="151"/>
  <c r="L57" i="151"/>
  <c r="J46" i="13"/>
  <c r="N64" i="47"/>
  <c r="N56" i="47"/>
  <c r="N57" i="47"/>
  <c r="N22" i="47"/>
  <c r="N70" i="47"/>
  <c r="N61" i="47"/>
  <c r="N39" i="47"/>
  <c r="B23" i="13"/>
  <c r="C23" i="13" s="1"/>
  <c r="D23" i="13" s="1"/>
  <c r="B21" i="13"/>
  <c r="C21" i="13" s="1"/>
  <c r="N71" i="151"/>
  <c r="N39" i="151"/>
  <c r="N33" i="151"/>
  <c r="N46" i="151"/>
  <c r="N22" i="151"/>
  <c r="N40" i="151"/>
  <c r="N56" i="151"/>
  <c r="B7" i="48"/>
  <c r="J39" i="13"/>
  <c r="J47" i="13"/>
  <c r="D21" i="13"/>
  <c r="J43" i="13"/>
  <c r="B19" i="61"/>
  <c r="Q12" i="61" s="1"/>
  <c r="B19" i="60"/>
  <c r="Q12" i="60" s="1"/>
  <c r="G48" i="60"/>
  <c r="F49" i="60"/>
  <c r="J38" i="13"/>
  <c r="J42" i="13"/>
  <c r="L61" i="47"/>
  <c r="L40" i="47"/>
  <c r="L33" i="47"/>
  <c r="L46" i="47"/>
  <c r="L99" i="47"/>
  <c r="L102" i="47"/>
  <c r="L109" i="47"/>
  <c r="L115" i="47"/>
  <c r="AA99" i="47"/>
  <c r="AA104" i="47"/>
  <c r="Q107" i="47"/>
  <c r="W109" i="47"/>
  <c r="AA110" i="47"/>
  <c r="W113" i="47"/>
  <c r="AA114" i="47"/>
  <c r="W117" i="47"/>
  <c r="X100" i="47"/>
  <c r="X103" i="47"/>
  <c r="X108" i="47"/>
  <c r="X111" i="47"/>
  <c r="X116" i="47"/>
  <c r="AB118" i="47"/>
  <c r="R121" i="47"/>
  <c r="AB122" i="47"/>
  <c r="R125" i="47"/>
  <c r="AB126" i="47"/>
  <c r="Y103" i="47"/>
  <c r="L101" i="47"/>
  <c r="L111" i="47"/>
  <c r="L118" i="47"/>
  <c r="AA103" i="47"/>
  <c r="Q108" i="47"/>
  <c r="AA111" i="47"/>
  <c r="AA113" i="47"/>
  <c r="W115" i="47"/>
  <c r="X98" i="47"/>
  <c r="X105" i="47"/>
  <c r="X109" i="47"/>
  <c r="X112" i="47"/>
  <c r="AB120" i="47"/>
  <c r="R122" i="47"/>
  <c r="R124" i="47"/>
  <c r="AB127" i="47"/>
  <c r="Y105" i="47"/>
  <c r="Y113" i="47"/>
  <c r="Y118" i="47"/>
  <c r="AE119" i="47"/>
  <c r="Y122" i="47"/>
  <c r="AE123" i="47"/>
  <c r="Y126" i="47"/>
  <c r="AE127" i="47"/>
  <c r="R97" i="47"/>
  <c r="R103" i="47"/>
  <c r="R108" i="47"/>
  <c r="R113" i="47"/>
  <c r="Z118" i="47"/>
  <c r="Z123" i="47"/>
  <c r="Z126" i="47"/>
  <c r="Q130" i="47"/>
  <c r="AA131" i="47"/>
  <c r="AB99" i="47"/>
  <c r="AB110" i="47"/>
  <c r="L103" i="47"/>
  <c r="L113" i="47"/>
  <c r="AA97" i="47"/>
  <c r="Q105" i="47"/>
  <c r="AA108" i="47"/>
  <c r="W110" i="47"/>
  <c r="W112" i="47"/>
  <c r="AA115" i="47"/>
  <c r="AA117" i="47"/>
  <c r="X99" i="47"/>
  <c r="X102" i="47"/>
  <c r="X106" i="47"/>
  <c r="X113" i="47"/>
  <c r="X117" i="47"/>
  <c r="R119" i="47"/>
  <c r="AB124" i="47"/>
  <c r="R126" i="47"/>
  <c r="R128" i="47"/>
  <c r="Y99" i="47"/>
  <c r="Y111" i="47"/>
  <c r="AE118" i="47"/>
  <c r="Y121" i="47"/>
  <c r="AE122" i="47"/>
  <c r="Y125" i="47"/>
  <c r="AE126" i="47"/>
  <c r="R99" i="47"/>
  <c r="R104" i="47"/>
  <c r="R109" i="47"/>
  <c r="R115" i="47"/>
  <c r="Z121" i="47"/>
  <c r="Z124" i="47"/>
  <c r="Q129" i="47"/>
  <c r="AA130" i="47"/>
  <c r="AB102" i="47"/>
  <c r="AB114" i="47"/>
  <c r="T121" i="47"/>
  <c r="L126" i="47"/>
  <c r="Y130" i="47"/>
  <c r="AE98" i="47"/>
  <c r="AE108" i="47"/>
  <c r="W119" i="47"/>
  <c r="W124" i="47"/>
  <c r="Q96" i="47"/>
  <c r="S100" i="47"/>
  <c r="S105" i="47"/>
  <c r="S111" i="47"/>
  <c r="S116" i="47"/>
  <c r="AA119" i="47"/>
  <c r="AA122" i="47"/>
  <c r="Q125" i="47"/>
  <c r="AA127" i="47"/>
  <c r="AB129" i="47"/>
  <c r="S96" i="47"/>
  <c r="AB101" i="47"/>
  <c r="AB111" i="47"/>
  <c r="L120" i="47"/>
  <c r="T126" i="47"/>
  <c r="T96" i="47"/>
  <c r="AE106" i="47"/>
  <c r="AE117" i="47"/>
  <c r="L129" i="47"/>
  <c r="T131" i="47"/>
  <c r="L39" i="47"/>
  <c r="L130" i="47"/>
  <c r="AE115" i="47"/>
  <c r="AE101" i="47"/>
  <c r="S130" i="47"/>
  <c r="L124" i="47"/>
  <c r="AB117" i="47"/>
  <c r="AB103" i="47"/>
  <c r="R130" i="47"/>
  <c r="AA128" i="47"/>
  <c r="AA124" i="47"/>
  <c r="Q121" i="47"/>
  <c r="S117" i="47"/>
  <c r="S109" i="47"/>
  <c r="S103" i="47"/>
  <c r="AA96" i="47"/>
  <c r="W128" i="47"/>
  <c r="W121" i="47"/>
  <c r="AE112" i="47"/>
  <c r="Z96" i="47"/>
  <c r="AB128" i="47"/>
  <c r="T122" i="47"/>
  <c r="AB108" i="47"/>
  <c r="Q131" i="47"/>
  <c r="Z128" i="47"/>
  <c r="R117" i="47"/>
  <c r="R107" i="47"/>
  <c r="AE128" i="47"/>
  <c r="Y123" i="47"/>
  <c r="AE120" i="47"/>
  <c r="Y107" i="47"/>
  <c r="Y101" i="47"/>
  <c r="R127" i="47"/>
  <c r="AB123" i="47"/>
  <c r="R120" i="47"/>
  <c r="X115" i="47"/>
  <c r="X101" i="47"/>
  <c r="AA116" i="47"/>
  <c r="AA109" i="47"/>
  <c r="AA101" i="47"/>
  <c r="L107" i="47"/>
  <c r="G47" i="60"/>
  <c r="N40" i="47"/>
  <c r="N71" i="47"/>
  <c r="N47" i="47"/>
  <c r="N33" i="47"/>
  <c r="N23" i="47"/>
  <c r="L22" i="151"/>
  <c r="L70" i="151"/>
  <c r="L47" i="151"/>
  <c r="J37" i="13"/>
  <c r="J41" i="13"/>
  <c r="J49" i="13"/>
  <c r="N56" i="149"/>
  <c r="N46" i="149"/>
  <c r="N64" i="149"/>
  <c r="N47" i="149"/>
  <c r="N40" i="149"/>
  <c r="N23" i="149"/>
  <c r="N32" i="149"/>
  <c r="N33" i="149"/>
  <c r="N57" i="149"/>
  <c r="N22" i="149"/>
  <c r="N39" i="149"/>
  <c r="N71" i="149"/>
  <c r="N70" i="149"/>
  <c r="N63" i="149"/>
  <c r="L56" i="47"/>
  <c r="L110" i="47"/>
  <c r="L105" i="47"/>
  <c r="L100" i="47"/>
  <c r="L104" i="47"/>
  <c r="L108" i="47"/>
  <c r="L112" i="47"/>
  <c r="L116" i="47"/>
  <c r="AA98" i="47"/>
  <c r="AA102" i="47"/>
  <c r="AA105" i="47"/>
  <c r="AA107" i="47"/>
  <c r="Q109" i="47"/>
  <c r="Q110" i="47"/>
  <c r="Q111" i="47"/>
  <c r="Q112" i="47"/>
  <c r="Q113" i="47"/>
  <c r="Q114" i="47"/>
  <c r="Q115" i="47"/>
  <c r="Q116" i="47"/>
  <c r="Q117" i="47"/>
  <c r="X118" i="47"/>
  <c r="X119" i="47"/>
  <c r="X120" i="47"/>
  <c r="X121" i="47"/>
  <c r="X122" i="47"/>
  <c r="X123" i="47"/>
  <c r="X124" i="47"/>
  <c r="X125" i="47"/>
  <c r="X126" i="47"/>
  <c r="X127" i="47"/>
  <c r="X128" i="47"/>
  <c r="Y98" i="47"/>
  <c r="Y100" i="47"/>
  <c r="Y102" i="47"/>
  <c r="Y104" i="47"/>
  <c r="Y106" i="47"/>
  <c r="Y108" i="47"/>
  <c r="Y110" i="47"/>
  <c r="Y112" i="47"/>
  <c r="Y114" i="47"/>
  <c r="Y116" i="47"/>
  <c r="S118" i="47"/>
  <c r="S119" i="47"/>
  <c r="S120" i="47"/>
  <c r="S121" i="47"/>
  <c r="S122" i="47"/>
  <c r="S123" i="47"/>
  <c r="S124" i="47"/>
  <c r="S125" i="47"/>
  <c r="S126" i="47"/>
  <c r="S127" i="47"/>
  <c r="S128" i="47"/>
  <c r="R98" i="47"/>
  <c r="R102" i="47"/>
  <c r="R106" i="47"/>
  <c r="R110" i="47"/>
  <c r="R114" i="47"/>
  <c r="W129" i="47"/>
  <c r="W130" i="47"/>
  <c r="W131" i="47"/>
  <c r="X96" i="47"/>
  <c r="AB104" i="47"/>
  <c r="AB112" i="47"/>
  <c r="T119" i="47"/>
  <c r="T123" i="47"/>
  <c r="L127" i="47"/>
  <c r="AE129" i="47"/>
  <c r="AE102" i="47"/>
  <c r="AE110" i="47"/>
  <c r="W118" i="47"/>
  <c r="W122" i="47"/>
  <c r="W126" i="47"/>
  <c r="Z129" i="47"/>
  <c r="Z131" i="47"/>
  <c r="S98" i="47"/>
  <c r="S102" i="47"/>
  <c r="S106" i="47"/>
  <c r="S110" i="47"/>
  <c r="S114" i="47"/>
  <c r="Q118" i="47"/>
  <c r="Q120" i="47"/>
  <c r="Q122" i="47"/>
  <c r="Q124" i="47"/>
  <c r="Q126" i="47"/>
  <c r="Q128" i="47"/>
  <c r="X129" i="47"/>
  <c r="X130" i="47"/>
  <c r="X131" i="47"/>
  <c r="Y96" i="47"/>
  <c r="AB100" i="47"/>
  <c r="AB107" i="47"/>
  <c r="AB115" i="47"/>
  <c r="L121" i="47"/>
  <c r="L125" i="47"/>
  <c r="AE130" i="47"/>
  <c r="AE97" i="47"/>
  <c r="AE105" i="47"/>
  <c r="AE113" i="47"/>
  <c r="T130" i="47"/>
  <c r="W96" i="47"/>
  <c r="L23" i="47"/>
  <c r="L47" i="47"/>
  <c r="L71" i="47"/>
  <c r="L63" i="47"/>
  <c r="L64" i="47"/>
  <c r="L63" i="149"/>
  <c r="L56" i="149"/>
  <c r="L70" i="149"/>
  <c r="L32" i="149"/>
  <c r="L47" i="149"/>
  <c r="L23" i="149"/>
  <c r="L22" i="149"/>
  <c r="L71" i="149"/>
  <c r="L46" i="149"/>
  <c r="L64" i="149"/>
  <c r="L39" i="149"/>
  <c r="L57" i="149"/>
  <c r="L33" i="149"/>
  <c r="L63" i="151"/>
  <c r="L40" i="151"/>
  <c r="L46" i="151"/>
  <c r="L33" i="151"/>
  <c r="L56" i="151"/>
  <c r="L23" i="151"/>
  <c r="L32" i="151"/>
  <c r="L39" i="151"/>
  <c r="L97" i="47"/>
  <c r="W108" i="47"/>
  <c r="W107" i="47"/>
  <c r="W106" i="47"/>
  <c r="W105" i="47"/>
  <c r="W104" i="47"/>
  <c r="W103" i="47"/>
  <c r="W102" i="47"/>
  <c r="W101" i="47"/>
  <c r="W100" i="47"/>
  <c r="W99" i="47"/>
  <c r="W98" i="47"/>
  <c r="W97" i="47"/>
  <c r="Z117" i="47"/>
  <c r="Z116" i="47"/>
  <c r="Z115" i="47"/>
  <c r="Z114" i="47"/>
  <c r="Z113" i="47"/>
  <c r="Z112" i="47"/>
  <c r="Z111" i="47"/>
  <c r="Z110" i="47"/>
  <c r="Z109" i="47"/>
  <c r="Z108" i="47"/>
  <c r="Z107" i="47"/>
  <c r="Z106" i="47"/>
  <c r="Z105" i="47"/>
  <c r="Z104" i="47"/>
  <c r="Z103" i="47"/>
  <c r="Z102" i="47"/>
  <c r="Z101" i="47"/>
  <c r="Z100" i="47"/>
  <c r="Z99" i="47"/>
  <c r="Z98" i="47"/>
  <c r="Z97" i="47"/>
  <c r="Q104" i="47"/>
  <c r="Q103" i="47"/>
  <c r="Q102" i="47"/>
  <c r="Q101" i="47"/>
  <c r="Q100" i="47"/>
  <c r="Q99" i="47"/>
  <c r="Q98" i="47"/>
  <c r="Q97" i="47"/>
  <c r="T117" i="47"/>
  <c r="T116" i="47"/>
  <c r="T115" i="47"/>
  <c r="T114" i="47"/>
  <c r="T113" i="47"/>
  <c r="T112" i="47"/>
  <c r="T111" i="47"/>
  <c r="T110" i="47"/>
  <c r="T109" i="47"/>
  <c r="T108" i="47"/>
  <c r="T107" i="47"/>
  <c r="T106" i="47"/>
  <c r="T105" i="47"/>
  <c r="T104" i="47"/>
  <c r="T103" i="47"/>
  <c r="T102" i="47"/>
  <c r="T101" i="47"/>
  <c r="T100" i="47"/>
  <c r="T99" i="47"/>
  <c r="T98" i="47"/>
  <c r="T97" i="47"/>
  <c r="Q98" i="149"/>
  <c r="R107" i="149"/>
  <c r="Q97" i="149"/>
  <c r="O103" i="149"/>
  <c r="AE104" i="149"/>
  <c r="Q101" i="149"/>
  <c r="S102" i="149"/>
  <c r="AB104" i="149"/>
  <c r="AE96" i="149"/>
  <c r="AE100" i="149"/>
  <c r="L99" i="149"/>
  <c r="L109" i="149"/>
  <c r="AE99" i="149"/>
  <c r="Q102" i="149"/>
  <c r="X97" i="149"/>
  <c r="T105" i="149"/>
  <c r="X96" i="149"/>
  <c r="Q106" i="149"/>
  <c r="Q107" i="149"/>
  <c r="S110" i="149"/>
  <c r="L103" i="149"/>
  <c r="L107" i="149"/>
  <c r="Q103" i="149"/>
  <c r="L98" i="149"/>
  <c r="X101" i="149"/>
  <c r="X105" i="149"/>
  <c r="R115" i="149"/>
  <c r="Z111" i="149"/>
  <c r="AE101" i="149"/>
  <c r="P110" i="149"/>
  <c r="T113" i="149"/>
  <c r="AE105" i="149"/>
  <c r="O115" i="149"/>
  <c r="S107" i="149"/>
  <c r="L100" i="149"/>
  <c r="L104" i="149"/>
  <c r="AB109" i="149"/>
  <c r="W113" i="149"/>
  <c r="X102" i="149"/>
  <c r="X106" i="149"/>
  <c r="X113" i="149"/>
  <c r="O116" i="149"/>
  <c r="AE107" i="149"/>
  <c r="L108" i="149"/>
  <c r="S116" i="149"/>
  <c r="AB110" i="149"/>
  <c r="M98" i="149"/>
  <c r="Y96" i="149"/>
  <c r="O109" i="149"/>
  <c r="O112" i="149"/>
  <c r="L105" i="149"/>
  <c r="M97" i="149"/>
  <c r="T102" i="149"/>
  <c r="W100" i="149"/>
  <c r="Q110" i="149"/>
  <c r="R104" i="149"/>
  <c r="M112" i="149"/>
  <c r="P103" i="149"/>
  <c r="AE109" i="149"/>
  <c r="Z99" i="149"/>
  <c r="N115" i="149"/>
  <c r="X103" i="149"/>
  <c r="R96" i="149"/>
  <c r="R97" i="149"/>
  <c r="W108" i="149"/>
  <c r="Z98" i="149"/>
  <c r="Q112" i="149"/>
  <c r="P107" i="149"/>
  <c r="Y99" i="149"/>
  <c r="AB101" i="149"/>
  <c r="O101" i="149"/>
  <c r="AB105" i="149"/>
  <c r="AE115" i="149"/>
  <c r="W102" i="149"/>
  <c r="P109" i="149"/>
  <c r="O105" i="149"/>
  <c r="W106" i="149"/>
  <c r="AE110" i="149"/>
  <c r="P100" i="149"/>
  <c r="P104" i="149"/>
  <c r="L114" i="149"/>
  <c r="O104" i="149"/>
  <c r="O108" i="149"/>
  <c r="O114" i="149"/>
  <c r="AB102" i="149"/>
  <c r="W107" i="149"/>
  <c r="AE113" i="149"/>
  <c r="W103" i="149"/>
  <c r="M110" i="149"/>
  <c r="T111" i="149"/>
  <c r="Q109" i="149"/>
  <c r="P115" i="149"/>
  <c r="T108" i="149"/>
  <c r="X112" i="149"/>
  <c r="Q111" i="149"/>
  <c r="N109" i="149"/>
  <c r="AB106" i="149"/>
  <c r="Q114" i="149"/>
  <c r="M116" i="149"/>
  <c r="P106" i="149"/>
  <c r="AA98" i="149"/>
  <c r="W98" i="149"/>
  <c r="X100" i="149"/>
  <c r="N116" i="149"/>
  <c r="W114" i="149"/>
  <c r="S96" i="149"/>
  <c r="L102" i="149"/>
  <c r="Z101" i="149"/>
  <c r="AA104" i="149"/>
  <c r="W105" i="149"/>
  <c r="N97" i="149"/>
  <c r="AA97" i="149"/>
  <c r="X108" i="149"/>
  <c r="T99" i="149"/>
  <c r="R111" i="149"/>
  <c r="S104" i="149"/>
  <c r="S114" i="149"/>
  <c r="N103" i="149"/>
  <c r="N96" i="149"/>
  <c r="M108" i="149"/>
  <c r="S99" i="149"/>
  <c r="Y114" i="149"/>
  <c r="T107" i="149"/>
  <c r="Y106" i="149"/>
  <c r="O100" i="149"/>
  <c r="N101" i="149"/>
  <c r="AA107" i="149"/>
  <c r="N105" i="149"/>
  <c r="Q116" i="149"/>
  <c r="T103" i="149"/>
  <c r="Z109" i="149"/>
  <c r="P114" i="149"/>
  <c r="AA114" i="149"/>
  <c r="S108" i="149"/>
  <c r="AA103" i="149"/>
  <c r="Z116" i="149"/>
  <c r="N102" i="149"/>
  <c r="N106" i="149"/>
  <c r="AE112" i="149"/>
  <c r="AB112" i="149"/>
  <c r="X114" i="149"/>
  <c r="Y103" i="149"/>
  <c r="T98" i="149"/>
  <c r="AA102" i="149"/>
  <c r="AA106" i="149"/>
  <c r="N111" i="149"/>
  <c r="T100" i="149"/>
  <c r="T104" i="149"/>
  <c r="AA108" i="149"/>
  <c r="W109" i="149"/>
  <c r="R116" i="149"/>
  <c r="AA110" i="149"/>
  <c r="AB107" i="149"/>
  <c r="AA112" i="149"/>
  <c r="S101" i="149"/>
  <c r="S105" i="149"/>
  <c r="W110" i="149"/>
  <c r="O111" i="149"/>
  <c r="W111" i="149"/>
  <c r="Z106" i="149"/>
  <c r="T101" i="149"/>
  <c r="AB113" i="149"/>
  <c r="M105" i="149"/>
  <c r="AB97" i="149"/>
  <c r="N108" i="149"/>
  <c r="Q100" i="149"/>
  <c r="AB96" i="149"/>
  <c r="P101" i="149"/>
  <c r="AA101" i="149"/>
  <c r="O96" i="149"/>
  <c r="AE116" i="149"/>
  <c r="O106" i="149"/>
  <c r="Z107" i="149"/>
  <c r="Y110" i="149"/>
  <c r="O99" i="149"/>
  <c r="Z104" i="149"/>
  <c r="Z103" i="149"/>
  <c r="L110" i="149"/>
  <c r="Y100" i="149"/>
  <c r="Y104" i="149"/>
  <c r="Y108" i="149"/>
  <c r="Z100" i="149"/>
  <c r="R106" i="149"/>
  <c r="AE111" i="149"/>
  <c r="P99" i="149"/>
  <c r="Z113" i="149"/>
  <c r="Q104" i="149"/>
  <c r="P98" i="149"/>
  <c r="R101" i="149"/>
  <c r="R105" i="149"/>
  <c r="X111" i="149"/>
  <c r="R102" i="149"/>
  <c r="M107" i="149"/>
  <c r="Q113" i="149"/>
  <c r="AB114" i="149"/>
  <c r="AE102" i="149"/>
  <c r="W97" i="149"/>
  <c r="M102" i="149"/>
  <c r="M106" i="149"/>
  <c r="L113" i="149"/>
  <c r="M103" i="149"/>
  <c r="P111" i="149"/>
  <c r="AE98" i="149"/>
  <c r="AE103" i="149"/>
  <c r="Q115" i="149"/>
  <c r="X116" i="149"/>
  <c r="M114" i="149"/>
  <c r="T106" i="149"/>
  <c r="P97" i="149"/>
  <c r="W112" i="149"/>
  <c r="Q99" i="149"/>
  <c r="N107" i="149"/>
  <c r="L106" i="149"/>
  <c r="W115" i="149"/>
  <c r="Y101" i="149"/>
  <c r="Y105" i="149"/>
  <c r="N113" i="149"/>
  <c r="X110" i="149"/>
  <c r="S103" i="149"/>
  <c r="AB111" i="149"/>
  <c r="X107" i="149"/>
  <c r="AE97" i="149"/>
  <c r="L101" i="149"/>
  <c r="N100" i="149"/>
  <c r="R100" i="149"/>
  <c r="L112" i="149"/>
  <c r="S100" i="149"/>
  <c r="R103" i="149"/>
  <c r="W104" i="149"/>
  <c r="P96" i="149"/>
  <c r="Y97" i="149"/>
  <c r="Q96" i="149"/>
  <c r="S97" i="149"/>
  <c r="O98" i="149"/>
  <c r="T96" i="149"/>
  <c r="AE108" i="149"/>
  <c r="X104" i="149"/>
  <c r="T114" i="149"/>
  <c r="T116" i="149"/>
  <c r="K40" i="13"/>
  <c r="AA105" i="149"/>
  <c r="O97" i="149"/>
  <c r="AE106" i="149"/>
  <c r="P113" i="149"/>
  <c r="R99" i="149"/>
  <c r="N110" i="149"/>
  <c r="X115" i="149"/>
  <c r="AE114" i="149"/>
  <c r="P112" i="149"/>
  <c r="W116" i="149"/>
  <c r="Z102" i="149"/>
  <c r="Y112" i="149"/>
  <c r="AB103" i="149"/>
  <c r="Z105" i="149"/>
  <c r="N114" i="149"/>
  <c r="O110" i="149"/>
  <c r="M109" i="149"/>
  <c r="O102" i="149"/>
  <c r="O113" i="149"/>
  <c r="L116" i="149"/>
  <c r="S98" i="149"/>
  <c r="P102" i="149"/>
  <c r="AA100" i="149"/>
  <c r="L111" i="149"/>
  <c r="T110" i="149"/>
  <c r="X99" i="149"/>
  <c r="Y98" i="149"/>
  <c r="Y109" i="149"/>
  <c r="Y107" i="149"/>
  <c r="K50" i="13"/>
  <c r="K42" i="13"/>
  <c r="K36" i="13"/>
  <c r="L96" i="151"/>
  <c r="L115" i="149"/>
  <c r="N112" i="149"/>
  <c r="Y116" i="149"/>
  <c r="T112" i="149"/>
  <c r="AB116" i="149"/>
  <c r="S106" i="149"/>
  <c r="AB100" i="149"/>
  <c r="M100" i="149"/>
  <c r="M99" i="149"/>
  <c r="P108" i="149"/>
  <c r="M113" i="149"/>
  <c r="Y113" i="149"/>
  <c r="M101" i="149"/>
  <c r="AB99" i="149"/>
  <c r="AB108" i="149"/>
  <c r="AA109" i="149"/>
  <c r="S111" i="149"/>
  <c r="AA113" i="149"/>
  <c r="S115" i="149"/>
  <c r="S109" i="149"/>
  <c r="AA111" i="149"/>
  <c r="S113" i="149"/>
  <c r="AB115" i="149"/>
  <c r="P116" i="149"/>
  <c r="W96" i="149"/>
  <c r="W99" i="149"/>
  <c r="R108" i="149"/>
  <c r="T97" i="149"/>
  <c r="T109" i="149"/>
  <c r="X98" i="149"/>
  <c r="M104" i="149"/>
  <c r="X109" i="149"/>
  <c r="S112" i="149"/>
  <c r="Y111" i="149"/>
  <c r="Y115" i="149"/>
  <c r="M111" i="149"/>
  <c r="M115" i="149"/>
  <c r="O107" i="149"/>
  <c r="Z97" i="149"/>
  <c r="L96" i="149"/>
  <c r="Q108" i="149"/>
  <c r="N98" i="149"/>
  <c r="R98" i="149"/>
  <c r="L97" i="149"/>
  <c r="AA116" i="149"/>
  <c r="W101" i="149"/>
  <c r="Z115" i="149"/>
  <c r="Y102" i="149"/>
  <c r="Z96" i="149"/>
  <c r="AA99" i="149"/>
  <c r="P105" i="149"/>
  <c r="AA96" i="149"/>
  <c r="Q105" i="149"/>
  <c r="AB98" i="149"/>
  <c r="M96" i="149"/>
  <c r="N99" i="149"/>
  <c r="N104" i="149"/>
  <c r="R113" i="149"/>
  <c r="AA115" i="149"/>
  <c r="R114" i="149"/>
  <c r="Z112" i="149"/>
  <c r="R110" i="149"/>
  <c r="Z108" i="149"/>
  <c r="Z114" i="149"/>
  <c r="R112" i="149"/>
  <c r="Z110" i="149"/>
  <c r="T115" i="149"/>
  <c r="R109" i="149"/>
  <c r="K41" i="13"/>
  <c r="K34" i="13"/>
  <c r="K43" i="13"/>
  <c r="K49" i="13"/>
  <c r="K47" i="13"/>
  <c r="K39" i="13"/>
  <c r="K45" i="13"/>
  <c r="K37" i="13"/>
  <c r="H106" i="149"/>
  <c r="K33" i="13"/>
  <c r="K46" i="13"/>
  <c r="K38" i="13"/>
  <c r="K44" i="13"/>
  <c r="B25" i="13"/>
  <c r="D22" i="13"/>
  <c r="B24" i="13"/>
  <c r="C24" i="13" s="1"/>
  <c r="D24" i="13" s="1"/>
  <c r="L37" i="149" l="1"/>
  <c r="F96" i="149"/>
  <c r="F121" i="149"/>
  <c r="F97" i="149"/>
  <c r="F122" i="149"/>
  <c r="F96" i="47"/>
  <c r="F136" i="47"/>
  <c r="F96" i="151"/>
  <c r="F106" i="151"/>
  <c r="A141" i="60"/>
  <c r="A133" i="60"/>
  <c r="A125" i="60"/>
  <c r="A117" i="60"/>
  <c r="A109" i="60"/>
  <c r="A101" i="60"/>
  <c r="A93" i="60"/>
  <c r="A85" i="60"/>
  <c r="A77" i="60"/>
  <c r="A69" i="60"/>
  <c r="A61" i="60"/>
  <c r="A53" i="60"/>
  <c r="A147" i="60"/>
  <c r="A139" i="60"/>
  <c r="A131" i="60"/>
  <c r="A123" i="60"/>
  <c r="A115" i="60"/>
  <c r="A107" i="60"/>
  <c r="A99" i="60"/>
  <c r="A91" i="60"/>
  <c r="A83" i="60"/>
  <c r="A75" i="60"/>
  <c r="A67" i="60"/>
  <c r="A59" i="60"/>
  <c r="A51" i="60"/>
  <c r="A146" i="60"/>
  <c r="A138" i="60"/>
  <c r="A130" i="60"/>
  <c r="A122" i="60"/>
  <c r="A114" i="60"/>
  <c r="A62" i="60"/>
  <c r="A78" i="60"/>
  <c r="A94" i="60"/>
  <c r="A110" i="60"/>
  <c r="A140" i="60"/>
  <c r="A56" i="60"/>
  <c r="A72" i="60"/>
  <c r="A88" i="60"/>
  <c r="A104" i="60"/>
  <c r="A128" i="60"/>
  <c r="A50" i="60"/>
  <c r="A66" i="60"/>
  <c r="A145" i="60"/>
  <c r="A129" i="60"/>
  <c r="A113" i="60"/>
  <c r="A97" i="60"/>
  <c r="A81" i="60"/>
  <c r="A65" i="60"/>
  <c r="A49" i="60"/>
  <c r="A135" i="60"/>
  <c r="A119" i="60"/>
  <c r="A103" i="60"/>
  <c r="A87" i="60"/>
  <c r="A71" i="60"/>
  <c r="A55" i="60"/>
  <c r="A142" i="60"/>
  <c r="A126" i="60"/>
  <c r="A54" i="60"/>
  <c r="A86" i="60"/>
  <c r="A124" i="60"/>
  <c r="A64" i="60"/>
  <c r="A96" i="60"/>
  <c r="A144" i="60"/>
  <c r="A58" i="60"/>
  <c r="A82" i="60"/>
  <c r="A98" i="60"/>
  <c r="A116" i="60"/>
  <c r="A52" i="60"/>
  <c r="A68" i="60"/>
  <c r="A84" i="60"/>
  <c r="A100" i="60"/>
  <c r="A120" i="60"/>
  <c r="A137" i="60"/>
  <c r="A121" i="60"/>
  <c r="A105" i="60"/>
  <c r="A89" i="60"/>
  <c r="A73" i="60"/>
  <c r="A57" i="60"/>
  <c r="A143" i="60"/>
  <c r="A127" i="60"/>
  <c r="A111" i="60"/>
  <c r="A95" i="60"/>
  <c r="A79" i="60"/>
  <c r="A63" i="60"/>
  <c r="A47" i="60"/>
  <c r="A134" i="60"/>
  <c r="A118" i="60"/>
  <c r="A70" i="60"/>
  <c r="A102" i="60"/>
  <c r="A48" i="60"/>
  <c r="A80" i="60"/>
  <c r="A112" i="60"/>
  <c r="A74" i="60"/>
  <c r="A90" i="60"/>
  <c r="A106" i="60"/>
  <c r="A132" i="60"/>
  <c r="A60" i="60"/>
  <c r="A76" i="60"/>
  <c r="A92" i="60"/>
  <c r="A108" i="60"/>
  <c r="A136" i="60"/>
  <c r="B49" i="61"/>
  <c r="B47" i="61"/>
  <c r="B52" i="61"/>
  <c r="B59" i="61"/>
  <c r="B63" i="61"/>
  <c r="B68" i="61"/>
  <c r="B75" i="61"/>
  <c r="B79" i="61"/>
  <c r="B84" i="61"/>
  <c r="B91" i="61"/>
  <c r="B95" i="61"/>
  <c r="B100" i="61"/>
  <c r="B107" i="61"/>
  <c r="B111" i="61"/>
  <c r="B116" i="61"/>
  <c r="B123" i="61"/>
  <c r="B127" i="61"/>
  <c r="B132" i="61"/>
  <c r="B139" i="61"/>
  <c r="B143" i="61"/>
  <c r="B51" i="61"/>
  <c r="B55" i="61"/>
  <c r="B60" i="61"/>
  <c r="B67" i="61"/>
  <c r="B71" i="61"/>
  <c r="B76" i="61"/>
  <c r="B83" i="61"/>
  <c r="B87" i="61"/>
  <c r="B92" i="61"/>
  <c r="B99" i="61"/>
  <c r="B103" i="61"/>
  <c r="B108" i="61"/>
  <c r="B115" i="61"/>
  <c r="B119" i="61"/>
  <c r="B124" i="61"/>
  <c r="B131" i="61"/>
  <c r="B135" i="61"/>
  <c r="B140" i="61"/>
  <c r="B147" i="61"/>
  <c r="B136" i="61"/>
  <c r="B120" i="61"/>
  <c r="B104" i="61"/>
  <c r="B88" i="61"/>
  <c r="B72" i="61"/>
  <c r="B56" i="61"/>
  <c r="B142" i="61"/>
  <c r="B134" i="61"/>
  <c r="B126" i="61"/>
  <c r="B118" i="61"/>
  <c r="B110" i="61"/>
  <c r="B102" i="61"/>
  <c r="B94" i="61"/>
  <c r="B86" i="61"/>
  <c r="B78" i="61"/>
  <c r="B70" i="61"/>
  <c r="B62" i="61"/>
  <c r="B54" i="61"/>
  <c r="B145" i="61"/>
  <c r="B137" i="61"/>
  <c r="B129" i="61"/>
  <c r="B121" i="61"/>
  <c r="B113" i="61"/>
  <c r="B105" i="61"/>
  <c r="B97" i="61"/>
  <c r="B89" i="61"/>
  <c r="B81" i="61"/>
  <c r="B73" i="61"/>
  <c r="B65" i="61"/>
  <c r="B57" i="61"/>
  <c r="B128" i="61"/>
  <c r="B96" i="61"/>
  <c r="B64" i="61"/>
  <c r="B146" i="61"/>
  <c r="B130" i="61"/>
  <c r="B114" i="61"/>
  <c r="B98" i="61"/>
  <c r="B82" i="61"/>
  <c r="B66" i="61"/>
  <c r="B50" i="61"/>
  <c r="B133" i="61"/>
  <c r="B117" i="61"/>
  <c r="B101" i="61"/>
  <c r="B85" i="61"/>
  <c r="B69" i="61"/>
  <c r="B53" i="61"/>
  <c r="B144" i="61"/>
  <c r="B112" i="61"/>
  <c r="B80" i="61"/>
  <c r="B48" i="61"/>
  <c r="B138" i="61"/>
  <c r="B122" i="61"/>
  <c r="B106" i="61"/>
  <c r="B90" i="61"/>
  <c r="B74" i="61"/>
  <c r="B58" i="61"/>
  <c r="B141" i="61"/>
  <c r="B125" i="61"/>
  <c r="B109" i="61"/>
  <c r="B93" i="61"/>
  <c r="B77" i="61"/>
  <c r="B61" i="61"/>
  <c r="B134" i="60"/>
  <c r="B86" i="60"/>
  <c r="B54" i="60"/>
  <c r="B70" i="60"/>
  <c r="B143" i="60"/>
  <c r="B135" i="60"/>
  <c r="B127" i="60"/>
  <c r="B119" i="60"/>
  <c r="B111" i="60"/>
  <c r="B103" i="60"/>
  <c r="B95" i="60"/>
  <c r="B87" i="60"/>
  <c r="B79" i="60"/>
  <c r="B71" i="60"/>
  <c r="B63" i="60"/>
  <c r="B55" i="60"/>
  <c r="B47" i="60"/>
  <c r="B141" i="60"/>
  <c r="B133" i="60"/>
  <c r="B125" i="60"/>
  <c r="B117" i="60"/>
  <c r="B109" i="60"/>
  <c r="B101" i="60"/>
  <c r="B93" i="60"/>
  <c r="B85" i="60"/>
  <c r="B77" i="60"/>
  <c r="B69" i="60"/>
  <c r="B61" i="60"/>
  <c r="B53" i="60"/>
  <c r="B144" i="60"/>
  <c r="B136" i="60"/>
  <c r="B128" i="60"/>
  <c r="B120" i="60"/>
  <c r="B112" i="60"/>
  <c r="B104" i="60"/>
  <c r="B96" i="60"/>
  <c r="B88" i="60"/>
  <c r="B80" i="60"/>
  <c r="B72" i="60"/>
  <c r="B64" i="60"/>
  <c r="B56" i="60"/>
  <c r="B48" i="60"/>
  <c r="B78" i="60"/>
  <c r="B110" i="60"/>
  <c r="B142" i="60"/>
  <c r="B58" i="60"/>
  <c r="B90" i="60"/>
  <c r="B122" i="60"/>
  <c r="B118" i="60"/>
  <c r="B139" i="60"/>
  <c r="B123" i="60"/>
  <c r="B107" i="60"/>
  <c r="B91" i="60"/>
  <c r="B75" i="60"/>
  <c r="B59" i="60"/>
  <c r="B145" i="60"/>
  <c r="B129" i="60"/>
  <c r="B113" i="60"/>
  <c r="B97" i="60"/>
  <c r="B81" i="60"/>
  <c r="B65" i="60"/>
  <c r="B49" i="60"/>
  <c r="B132" i="60"/>
  <c r="B116" i="60"/>
  <c r="B100" i="60"/>
  <c r="B84" i="60"/>
  <c r="B68" i="60"/>
  <c r="B52" i="60"/>
  <c r="B94" i="60"/>
  <c r="B106" i="60"/>
  <c r="B50" i="60"/>
  <c r="B82" i="60"/>
  <c r="B114" i="60"/>
  <c r="B146" i="60"/>
  <c r="B102" i="60"/>
  <c r="B147" i="60"/>
  <c r="B131" i="60"/>
  <c r="B115" i="60"/>
  <c r="B99" i="60"/>
  <c r="B83" i="60"/>
  <c r="B67" i="60"/>
  <c r="B51" i="60"/>
  <c r="B137" i="60"/>
  <c r="B121" i="60"/>
  <c r="B105" i="60"/>
  <c r="B89" i="60"/>
  <c r="B73" i="60"/>
  <c r="B57" i="60"/>
  <c r="B140" i="60"/>
  <c r="B124" i="60"/>
  <c r="B108" i="60"/>
  <c r="B92" i="60"/>
  <c r="B76" i="60"/>
  <c r="B60" i="60"/>
  <c r="B62" i="60"/>
  <c r="B126" i="60"/>
  <c r="B74" i="60"/>
  <c r="B138" i="60"/>
  <c r="B66" i="60"/>
  <c r="B98" i="60"/>
  <c r="B130" i="60"/>
  <c r="A146" i="61"/>
  <c r="A59" i="61"/>
  <c r="A91" i="61"/>
  <c r="A134" i="61"/>
  <c r="A67" i="61"/>
  <c r="A99" i="61"/>
  <c r="A58" i="61"/>
  <c r="A90" i="61"/>
  <c r="A130" i="61"/>
  <c r="A50" i="61"/>
  <c r="A82" i="61"/>
  <c r="A114" i="61"/>
  <c r="A145" i="61"/>
  <c r="A137" i="61"/>
  <c r="A129" i="61"/>
  <c r="A121" i="61"/>
  <c r="A113" i="61"/>
  <c r="A105" i="61"/>
  <c r="A97" i="61"/>
  <c r="A89" i="61"/>
  <c r="A81" i="61"/>
  <c r="A73" i="61"/>
  <c r="A65" i="61"/>
  <c r="A57" i="61"/>
  <c r="A49" i="61"/>
  <c r="A140" i="61"/>
  <c r="A132" i="61"/>
  <c r="A124" i="61"/>
  <c r="A116" i="61"/>
  <c r="A108" i="61"/>
  <c r="A100" i="61"/>
  <c r="A92" i="61"/>
  <c r="A84" i="61"/>
  <c r="A76" i="61"/>
  <c r="A68" i="61"/>
  <c r="A60" i="61"/>
  <c r="A52" i="61"/>
  <c r="A147" i="61"/>
  <c r="A131" i="61"/>
  <c r="A119" i="61"/>
  <c r="A135" i="61"/>
  <c r="A115" i="61"/>
  <c r="A62" i="61"/>
  <c r="A78" i="61"/>
  <c r="A94" i="61"/>
  <c r="A110" i="61"/>
  <c r="A138" i="61"/>
  <c r="A55" i="61"/>
  <c r="A71" i="61"/>
  <c r="A87" i="61"/>
  <c r="A103" i="61"/>
  <c r="A126" i="61"/>
  <c r="A75" i="61"/>
  <c r="A51" i="61"/>
  <c r="A118" i="61"/>
  <c r="A106" i="61"/>
  <c r="A66" i="61"/>
  <c r="A133" i="61"/>
  <c r="A117" i="61"/>
  <c r="A101" i="61"/>
  <c r="A85" i="61"/>
  <c r="A69" i="61"/>
  <c r="A53" i="61"/>
  <c r="A136" i="61"/>
  <c r="A120" i="61"/>
  <c r="A104" i="61"/>
  <c r="A88" i="61"/>
  <c r="A72" i="61"/>
  <c r="A56" i="61"/>
  <c r="A139" i="61"/>
  <c r="A143" i="61"/>
  <c r="A54" i="61"/>
  <c r="A86" i="61"/>
  <c r="A122" i="61"/>
  <c r="A63" i="61"/>
  <c r="A95" i="61"/>
  <c r="A142" i="61"/>
  <c r="A107" i="61"/>
  <c r="A83" i="61"/>
  <c r="A74" i="61"/>
  <c r="A98" i="61"/>
  <c r="A141" i="61"/>
  <c r="A125" i="61"/>
  <c r="A109" i="61"/>
  <c r="A93" i="61"/>
  <c r="A77" i="61"/>
  <c r="A61" i="61"/>
  <c r="A144" i="61"/>
  <c r="A128" i="61"/>
  <c r="A112" i="61"/>
  <c r="A96" i="61"/>
  <c r="A80" i="61"/>
  <c r="A64" i="61"/>
  <c r="A48" i="61"/>
  <c r="A127" i="61"/>
  <c r="A123" i="61"/>
  <c r="A70" i="61"/>
  <c r="A102" i="61"/>
  <c r="A47" i="61"/>
  <c r="A79" i="61"/>
  <c r="A111" i="61"/>
  <c r="B48" i="20"/>
  <c r="B128" i="20"/>
  <c r="B144" i="20"/>
  <c r="B126" i="20"/>
  <c r="B67" i="20"/>
  <c r="B82" i="20"/>
  <c r="B71" i="20"/>
  <c r="B52" i="20"/>
  <c r="B116" i="20"/>
  <c r="B75" i="20"/>
  <c r="B85" i="20"/>
  <c r="B50" i="20"/>
  <c r="B130" i="20"/>
  <c r="B127" i="20"/>
  <c r="B104" i="20"/>
  <c r="B51" i="20"/>
  <c r="B73" i="20"/>
  <c r="B137" i="20"/>
  <c r="B114" i="20"/>
  <c r="B107" i="20"/>
  <c r="B92" i="20"/>
  <c r="B110" i="20"/>
  <c r="B61" i="20"/>
  <c r="B125" i="20"/>
  <c r="B98" i="20"/>
  <c r="B91" i="20"/>
  <c r="B111" i="20"/>
  <c r="B49" i="20"/>
  <c r="B65" i="20"/>
  <c r="B81" i="20"/>
  <c r="B102" i="20"/>
  <c r="B95" i="20"/>
  <c r="B68" i="20"/>
  <c r="B132" i="20"/>
  <c r="B123" i="20"/>
  <c r="B101" i="20"/>
  <c r="B66" i="20"/>
  <c r="B47" i="20"/>
  <c r="B56" i="20"/>
  <c r="B120" i="20"/>
  <c r="B87" i="20"/>
  <c r="B89" i="20"/>
  <c r="B54" i="20"/>
  <c r="B134" i="20"/>
  <c r="B131" i="20"/>
  <c r="B108" i="20"/>
  <c r="B59" i="20"/>
  <c r="B77" i="20"/>
  <c r="B141" i="20"/>
  <c r="B118" i="20"/>
  <c r="B115" i="20"/>
  <c r="B97" i="20"/>
  <c r="B113" i="20"/>
  <c r="B129" i="20"/>
  <c r="B145" i="20"/>
  <c r="B122" i="20"/>
  <c r="B119" i="20"/>
  <c r="B84" i="20"/>
  <c r="B70" i="20"/>
  <c r="B53" i="20"/>
  <c r="B117" i="20"/>
  <c r="B86" i="20"/>
  <c r="B79" i="20"/>
  <c r="B72" i="20"/>
  <c r="B136" i="20"/>
  <c r="B135" i="20"/>
  <c r="B105" i="20"/>
  <c r="B74" i="20"/>
  <c r="B55" i="20"/>
  <c r="B60" i="20"/>
  <c r="B124" i="20"/>
  <c r="B99" i="20"/>
  <c r="B93" i="20"/>
  <c r="B58" i="20"/>
  <c r="B138" i="20"/>
  <c r="B139" i="20"/>
  <c r="B64" i="20"/>
  <c r="B80" i="20"/>
  <c r="B96" i="20"/>
  <c r="B112" i="20"/>
  <c r="B62" i="20"/>
  <c r="B146" i="20"/>
  <c r="B143" i="20"/>
  <c r="B100" i="20"/>
  <c r="B142" i="20"/>
  <c r="B69" i="20"/>
  <c r="B133" i="20"/>
  <c r="B106" i="20"/>
  <c r="B103" i="20"/>
  <c r="B88" i="20"/>
  <c r="B94" i="20"/>
  <c r="B57" i="20"/>
  <c r="B121" i="20"/>
  <c r="B90" i="20"/>
  <c r="B83" i="20"/>
  <c r="B76" i="20"/>
  <c r="B140" i="20"/>
  <c r="B147" i="20"/>
  <c r="B109" i="20"/>
  <c r="B78" i="20"/>
  <c r="B63" i="20"/>
  <c r="J100" i="149"/>
  <c r="J116" i="149"/>
  <c r="J108" i="149"/>
  <c r="J109" i="149"/>
  <c r="J107" i="149"/>
  <c r="J105" i="149"/>
  <c r="J99" i="151"/>
  <c r="J113" i="149"/>
  <c r="J97" i="151"/>
  <c r="J112" i="149"/>
  <c r="J98" i="149"/>
  <c r="J99" i="149"/>
  <c r="J100" i="151"/>
  <c r="J103" i="149"/>
  <c r="H100" i="149"/>
  <c r="J104" i="149"/>
  <c r="J115" i="149"/>
  <c r="J101" i="151"/>
  <c r="J111" i="149"/>
  <c r="J101" i="149"/>
  <c r="J97" i="149"/>
  <c r="J114" i="149"/>
  <c r="J102" i="149"/>
  <c r="J110" i="149"/>
  <c r="J98" i="151"/>
  <c r="J96" i="149"/>
  <c r="H112" i="149"/>
  <c r="N44" i="151"/>
  <c r="N20" i="47"/>
  <c r="L14" i="47"/>
  <c r="C48" i="20"/>
  <c r="L48" i="20" s="1"/>
  <c r="G48" i="20"/>
  <c r="N44" i="47"/>
  <c r="L37" i="47"/>
  <c r="L44" i="151"/>
  <c r="L37" i="151"/>
  <c r="L61" i="149"/>
  <c r="N54" i="151"/>
  <c r="L20" i="149"/>
  <c r="L30" i="151"/>
  <c r="L20" i="47"/>
  <c r="L61" i="151"/>
  <c r="F49" i="61"/>
  <c r="G48" i="61"/>
  <c r="N54" i="47"/>
  <c r="L54" i="151"/>
  <c r="L44" i="149"/>
  <c r="N44" i="149"/>
  <c r="N20" i="149"/>
  <c r="L14" i="151"/>
  <c r="L20" i="151"/>
  <c r="L54" i="47"/>
  <c r="N37" i="47"/>
  <c r="C49" i="20"/>
  <c r="L49" i="20" s="1"/>
  <c r="F50" i="20"/>
  <c r="F51" i="20" s="1"/>
  <c r="G49" i="20"/>
  <c r="L68" i="149"/>
  <c r="N68" i="149"/>
  <c r="L14" i="149"/>
  <c r="N61" i="149"/>
  <c r="C48" i="61"/>
  <c r="L48" i="61" s="1"/>
  <c r="H48" i="61" s="1"/>
  <c r="L68" i="47"/>
  <c r="L68" i="151"/>
  <c r="L44" i="47"/>
  <c r="L30" i="149"/>
  <c r="N30" i="149"/>
  <c r="N30" i="47"/>
  <c r="L54" i="149"/>
  <c r="L30" i="47"/>
  <c r="N54" i="149"/>
  <c r="N68" i="151"/>
  <c r="G49" i="60"/>
  <c r="F50" i="60"/>
  <c r="C49" i="60"/>
  <c r="L49" i="60" s="1"/>
  <c r="H49" i="60" s="1"/>
  <c r="N37" i="151"/>
  <c r="N61" i="151"/>
  <c r="N68" i="47"/>
  <c r="N30" i="151"/>
  <c r="N20" i="151"/>
  <c r="J96" i="151"/>
  <c r="J96" i="47"/>
  <c r="J98" i="47"/>
  <c r="J100" i="47"/>
  <c r="J102" i="47"/>
  <c r="J104" i="47"/>
  <c r="J106" i="47"/>
  <c r="J108" i="47"/>
  <c r="J110" i="47"/>
  <c r="J112" i="47"/>
  <c r="J114" i="47"/>
  <c r="J116" i="47"/>
  <c r="J118" i="47"/>
  <c r="J120" i="47"/>
  <c r="J122" i="47"/>
  <c r="J124" i="47"/>
  <c r="J126" i="47"/>
  <c r="J128" i="47"/>
  <c r="J130" i="47"/>
  <c r="J97" i="47"/>
  <c r="J99" i="47"/>
  <c r="J101" i="47"/>
  <c r="J103" i="47"/>
  <c r="J105" i="47"/>
  <c r="J107" i="47"/>
  <c r="J109" i="47"/>
  <c r="J111" i="47"/>
  <c r="J113" i="47"/>
  <c r="J115" i="47"/>
  <c r="J117" i="47"/>
  <c r="J119" i="47"/>
  <c r="J121" i="47"/>
  <c r="J123" i="47"/>
  <c r="J125" i="47"/>
  <c r="J127" i="47"/>
  <c r="J129" i="47"/>
  <c r="J131" i="47"/>
  <c r="H96" i="149"/>
  <c r="H110" i="149"/>
  <c r="H105" i="149"/>
  <c r="H109" i="149"/>
  <c r="H99" i="151"/>
  <c r="H96" i="151"/>
  <c r="H113" i="149"/>
  <c r="H98" i="151"/>
  <c r="H101" i="151"/>
  <c r="H101" i="149"/>
  <c r="I97" i="151"/>
  <c r="I103" i="149"/>
  <c r="I99" i="151"/>
  <c r="I96" i="149"/>
  <c r="I100" i="151"/>
  <c r="I98" i="151"/>
  <c r="I115" i="149"/>
  <c r="I104" i="149"/>
  <c r="I98" i="149"/>
  <c r="I110" i="149"/>
  <c r="I107" i="149"/>
  <c r="I96" i="151"/>
  <c r="I102" i="149"/>
  <c r="I113" i="149"/>
  <c r="I96" i="47"/>
  <c r="I98" i="47"/>
  <c r="I100" i="47"/>
  <c r="I102" i="47"/>
  <c r="I104" i="47"/>
  <c r="I106" i="47"/>
  <c r="I108" i="47"/>
  <c r="I110" i="47"/>
  <c r="I112" i="47"/>
  <c r="I114" i="47"/>
  <c r="I116" i="47"/>
  <c r="I118" i="47"/>
  <c r="I120" i="47"/>
  <c r="I122" i="47"/>
  <c r="I124" i="47"/>
  <c r="I126" i="47"/>
  <c r="I128" i="47"/>
  <c r="I130" i="47"/>
  <c r="I116" i="149"/>
  <c r="I111" i="149"/>
  <c r="I99" i="149"/>
  <c r="I101" i="149"/>
  <c r="I114" i="149"/>
  <c r="I109" i="149"/>
  <c r="I100" i="149"/>
  <c r="I112" i="149"/>
  <c r="I97" i="149"/>
  <c r="I106" i="149"/>
  <c r="I101" i="151"/>
  <c r="I108" i="149"/>
  <c r="I105" i="149"/>
  <c r="I97" i="47"/>
  <c r="I99" i="47"/>
  <c r="I101" i="47"/>
  <c r="I103" i="47"/>
  <c r="I105" i="47"/>
  <c r="I107" i="47"/>
  <c r="I109" i="47"/>
  <c r="I111" i="47"/>
  <c r="I113" i="47"/>
  <c r="I115" i="47"/>
  <c r="I117" i="47"/>
  <c r="I119" i="47"/>
  <c r="I121" i="47"/>
  <c r="I123" i="47"/>
  <c r="I125" i="47"/>
  <c r="I127" i="47"/>
  <c r="I129" i="47"/>
  <c r="I131" i="47"/>
  <c r="G115" i="149"/>
  <c r="G113" i="149"/>
  <c r="G105" i="149"/>
  <c r="G110" i="149"/>
  <c r="G102" i="149"/>
  <c r="G99" i="149"/>
  <c r="G111" i="149"/>
  <c r="G98" i="151"/>
  <c r="G106" i="149"/>
  <c r="G101" i="149"/>
  <c r="G100" i="149"/>
  <c r="G104" i="149"/>
  <c r="G116" i="149"/>
  <c r="G97" i="47"/>
  <c r="G99" i="47"/>
  <c r="G101" i="47"/>
  <c r="G103" i="47"/>
  <c r="G105" i="47"/>
  <c r="G107" i="47"/>
  <c r="G109" i="47"/>
  <c r="G111" i="47"/>
  <c r="G113" i="47"/>
  <c r="G115" i="47"/>
  <c r="G117" i="47"/>
  <c r="G119" i="47"/>
  <c r="G121" i="47"/>
  <c r="G123" i="47"/>
  <c r="G125" i="47"/>
  <c r="G127" i="47"/>
  <c r="G129" i="47"/>
  <c r="G131" i="47"/>
  <c r="G114" i="149"/>
  <c r="G103" i="149"/>
  <c r="G97" i="151"/>
  <c r="G112" i="149"/>
  <c r="G101" i="151"/>
  <c r="G99" i="151"/>
  <c r="G100" i="151"/>
  <c r="G96" i="149"/>
  <c r="G108" i="149"/>
  <c r="G109" i="149"/>
  <c r="G96" i="151"/>
  <c r="G97" i="149"/>
  <c r="G107" i="149"/>
  <c r="G98" i="149"/>
  <c r="G98" i="47"/>
  <c r="G100" i="47"/>
  <c r="G102" i="47"/>
  <c r="G104" i="47"/>
  <c r="G106" i="47"/>
  <c r="G108" i="47"/>
  <c r="G110" i="47"/>
  <c r="G112" i="47"/>
  <c r="G114" i="47"/>
  <c r="G116" i="47"/>
  <c r="G118" i="47"/>
  <c r="G120" i="47"/>
  <c r="G122" i="47"/>
  <c r="G124" i="47"/>
  <c r="G126" i="47"/>
  <c r="G128" i="47"/>
  <c r="G130" i="47"/>
  <c r="G96" i="47"/>
  <c r="H115" i="149"/>
  <c r="H98" i="149"/>
  <c r="H100" i="151"/>
  <c r="H97" i="151"/>
  <c r="H108" i="149"/>
  <c r="H103" i="149"/>
  <c r="H102" i="149"/>
  <c r="H96" i="47"/>
  <c r="H98" i="47"/>
  <c r="H100" i="47"/>
  <c r="H102" i="47"/>
  <c r="H104" i="47"/>
  <c r="H106" i="47"/>
  <c r="H108" i="47"/>
  <c r="H110" i="47"/>
  <c r="H112" i="47"/>
  <c r="H114" i="47"/>
  <c r="H116" i="47"/>
  <c r="H118" i="47"/>
  <c r="H120" i="47"/>
  <c r="H122" i="47"/>
  <c r="H124" i="47"/>
  <c r="H126" i="47"/>
  <c r="H128" i="47"/>
  <c r="H130" i="47"/>
  <c r="H99" i="149"/>
  <c r="H104" i="149"/>
  <c r="H111" i="149"/>
  <c r="H107" i="149"/>
  <c r="H116" i="149"/>
  <c r="H97" i="149"/>
  <c r="H97" i="47"/>
  <c r="H99" i="47"/>
  <c r="H101" i="47"/>
  <c r="H103" i="47"/>
  <c r="H105" i="47"/>
  <c r="H107" i="47"/>
  <c r="H109" i="47"/>
  <c r="H111" i="47"/>
  <c r="H113" i="47"/>
  <c r="H115" i="47"/>
  <c r="H117" i="47"/>
  <c r="H119" i="47"/>
  <c r="H121" i="47"/>
  <c r="H123" i="47"/>
  <c r="H125" i="47"/>
  <c r="H127" i="47"/>
  <c r="H129" i="47"/>
  <c r="H131" i="47"/>
  <c r="H114" i="149"/>
  <c r="F97" i="151" l="1"/>
  <c r="F107" i="151"/>
  <c r="F97" i="47"/>
  <c r="F137" i="47"/>
  <c r="F98" i="149"/>
  <c r="F123" i="149"/>
  <c r="F98" i="47"/>
  <c r="F138" i="47"/>
  <c r="B46" i="60"/>
  <c r="A46" i="61"/>
  <c r="B46" i="61"/>
  <c r="A46" i="60"/>
  <c r="A46" i="20"/>
  <c r="B46" i="20"/>
  <c r="G50" i="20"/>
  <c r="C50" i="20"/>
  <c r="L50" i="20" s="1"/>
  <c r="H48" i="20"/>
  <c r="H49" i="20" s="1"/>
  <c r="C49" i="61"/>
  <c r="L49" i="61" s="1"/>
  <c r="H49" i="61" s="1"/>
  <c r="G49" i="61"/>
  <c r="F50" i="61"/>
  <c r="A19" i="151"/>
  <c r="A19" i="47"/>
  <c r="A19" i="149"/>
  <c r="F51" i="60"/>
  <c r="C50" i="60"/>
  <c r="L50" i="60" s="1"/>
  <c r="H50" i="60" s="1"/>
  <c r="G50" i="60"/>
  <c r="C51" i="20"/>
  <c r="L51" i="20" s="1"/>
  <c r="F52" i="20"/>
  <c r="G51" i="20"/>
  <c r="F99" i="47" l="1"/>
  <c r="F139" i="47"/>
  <c r="F99" i="149"/>
  <c r="F124" i="149"/>
  <c r="F100" i="47"/>
  <c r="F140" i="47"/>
  <c r="F98" i="151"/>
  <c r="F108" i="151"/>
  <c r="B38" i="61"/>
  <c r="F38" i="61" s="1"/>
  <c r="B38" i="60"/>
  <c r="B41" i="60" s="1"/>
  <c r="D21" i="124" s="1"/>
  <c r="B38" i="20"/>
  <c r="B41" i="20" s="1"/>
  <c r="D20" i="124" s="1"/>
  <c r="H50" i="20"/>
  <c r="H51" i="20" s="1"/>
  <c r="G50" i="61"/>
  <c r="F51" i="61"/>
  <c r="C50" i="61"/>
  <c r="L50" i="61" s="1"/>
  <c r="H50" i="61" s="1"/>
  <c r="G52" i="20"/>
  <c r="F53" i="20"/>
  <c r="C52" i="20"/>
  <c r="L52" i="20" s="1"/>
  <c r="F52" i="60"/>
  <c r="C51" i="60"/>
  <c r="L51" i="60" s="1"/>
  <c r="H51" i="60" s="1"/>
  <c r="G51" i="60"/>
  <c r="F101" i="47" l="1"/>
  <c r="F141" i="47"/>
  <c r="F99" i="151"/>
  <c r="F109" i="151"/>
  <c r="F100" i="149"/>
  <c r="F125" i="149"/>
  <c r="F38" i="60"/>
  <c r="B41" i="61"/>
  <c r="D22" i="124" s="1"/>
  <c r="B15" i="124" s="1"/>
  <c r="F38" i="20"/>
  <c r="C51" i="61"/>
  <c r="L51" i="61" s="1"/>
  <c r="F52" i="61"/>
  <c r="G51" i="61"/>
  <c r="F53" i="60"/>
  <c r="G52" i="60"/>
  <c r="C52" i="60"/>
  <c r="L52" i="60" s="1"/>
  <c r="H52" i="60" s="1"/>
  <c r="F54" i="20"/>
  <c r="C53" i="20"/>
  <c r="L53" i="20" s="1"/>
  <c r="G53" i="20"/>
  <c r="H52" i="20"/>
  <c r="F101" i="149" l="1"/>
  <c r="F126" i="149"/>
  <c r="F102" i="47"/>
  <c r="F142" i="47"/>
  <c r="F100" i="151"/>
  <c r="F110" i="151"/>
  <c r="E16" i="124"/>
  <c r="H51" i="61"/>
  <c r="D16" i="124"/>
  <c r="C52" i="61"/>
  <c r="L52" i="61" s="1"/>
  <c r="F53" i="61"/>
  <c r="G52" i="61"/>
  <c r="H53" i="20"/>
  <c r="C54" i="20"/>
  <c r="L54" i="20" s="1"/>
  <c r="F55" i="20"/>
  <c r="G54" i="20"/>
  <c r="C53" i="60"/>
  <c r="L53" i="60" s="1"/>
  <c r="H53" i="60" s="1"/>
  <c r="G53" i="60"/>
  <c r="F54" i="60"/>
  <c r="F102" i="149" l="1"/>
  <c r="F127" i="149"/>
  <c r="F103" i="47"/>
  <c r="F143" i="47"/>
  <c r="F101" i="151"/>
  <c r="F111" i="151"/>
  <c r="H52" i="61"/>
  <c r="F54" i="61"/>
  <c r="C53" i="61"/>
  <c r="L53" i="61" s="1"/>
  <c r="G53" i="61"/>
  <c r="H54" i="20"/>
  <c r="G54" i="60"/>
  <c r="F55" i="60"/>
  <c r="C54" i="60"/>
  <c r="L54" i="60" s="1"/>
  <c r="H54" i="60" s="1"/>
  <c r="C55" i="20"/>
  <c r="L55" i="20" s="1"/>
  <c r="F56" i="20"/>
  <c r="G55" i="20"/>
  <c r="H53" i="61" l="1"/>
  <c r="F104" i="47"/>
  <c r="F144" i="47"/>
  <c r="F103" i="149"/>
  <c r="F128" i="149"/>
  <c r="C54" i="61"/>
  <c r="L54" i="61" s="1"/>
  <c r="H54" i="61" s="1"/>
  <c r="G54" i="61"/>
  <c r="F55" i="61"/>
  <c r="H55" i="20"/>
  <c r="G56" i="20"/>
  <c r="F57" i="20"/>
  <c r="C56" i="20"/>
  <c r="L56" i="20" s="1"/>
  <c r="G55" i="60"/>
  <c r="F56" i="60"/>
  <c r="C55" i="60"/>
  <c r="L55" i="60" s="1"/>
  <c r="H55" i="60" s="1"/>
  <c r="F104" i="149" l="1"/>
  <c r="F129" i="149"/>
  <c r="F105" i="47"/>
  <c r="F145" i="47"/>
  <c r="F56" i="61"/>
  <c r="G55" i="61"/>
  <c r="C55" i="61"/>
  <c r="L55" i="61" s="1"/>
  <c r="H55" i="61" s="1"/>
  <c r="F57" i="60"/>
  <c r="G56" i="60"/>
  <c r="C56" i="60"/>
  <c r="L56" i="60" s="1"/>
  <c r="H56" i="60" s="1"/>
  <c r="H56" i="20"/>
  <c r="F58" i="20"/>
  <c r="G57" i="20"/>
  <c r="C57" i="20"/>
  <c r="L57" i="20" s="1"/>
  <c r="F106" i="47" l="1"/>
  <c r="F146" i="47"/>
  <c r="F105" i="149"/>
  <c r="F130" i="149"/>
  <c r="C56" i="61"/>
  <c r="L56" i="61" s="1"/>
  <c r="H56" i="61" s="1"/>
  <c r="G56" i="61"/>
  <c r="F57" i="61"/>
  <c r="G58" i="20"/>
  <c r="C58" i="20"/>
  <c r="L58" i="20" s="1"/>
  <c r="F59" i="20"/>
  <c r="G57" i="60"/>
  <c r="F58" i="60"/>
  <c r="C57" i="60"/>
  <c r="L57" i="60" s="1"/>
  <c r="H57" i="60" s="1"/>
  <c r="H57" i="20"/>
  <c r="F107" i="47" l="1"/>
  <c r="F147" i="47"/>
  <c r="F106" i="149"/>
  <c r="F131" i="149"/>
  <c r="G57" i="61"/>
  <c r="C57" i="61"/>
  <c r="L57" i="61" s="1"/>
  <c r="H57" i="61" s="1"/>
  <c r="F58" i="61"/>
  <c r="F59" i="60"/>
  <c r="G58" i="60"/>
  <c r="C58" i="60"/>
  <c r="L58" i="60" s="1"/>
  <c r="H58" i="60" s="1"/>
  <c r="H58" i="20"/>
  <c r="G59" i="20"/>
  <c r="C59" i="20"/>
  <c r="L59" i="20" s="1"/>
  <c r="F60" i="20"/>
  <c r="F108" i="47" l="1"/>
  <c r="F148" i="47"/>
  <c r="F107" i="149"/>
  <c r="F132" i="149"/>
  <c r="F59" i="61"/>
  <c r="C58" i="61"/>
  <c r="L58" i="61" s="1"/>
  <c r="H58" i="61" s="1"/>
  <c r="G58" i="61"/>
  <c r="G59" i="60"/>
  <c r="F60" i="60"/>
  <c r="C59" i="60"/>
  <c r="L59" i="60" s="1"/>
  <c r="H59" i="60" s="1"/>
  <c r="H59" i="20"/>
  <c r="F61" i="20"/>
  <c r="C60" i="20"/>
  <c r="L60" i="20" s="1"/>
  <c r="G60" i="20"/>
  <c r="F109" i="47" l="1"/>
  <c r="F149" i="47"/>
  <c r="F108" i="149"/>
  <c r="F133" i="149"/>
  <c r="G59" i="61"/>
  <c r="C59" i="61"/>
  <c r="L59" i="61" s="1"/>
  <c r="H59" i="61" s="1"/>
  <c r="F60" i="61"/>
  <c r="H60" i="20"/>
  <c r="F62" i="20"/>
  <c r="G61" i="20"/>
  <c r="C61" i="20"/>
  <c r="L61" i="20" s="1"/>
  <c r="C60" i="60"/>
  <c r="L60" i="60" s="1"/>
  <c r="H60" i="60" s="1"/>
  <c r="F61" i="60"/>
  <c r="G60" i="60"/>
  <c r="F109" i="149" l="1"/>
  <c r="F134" i="149"/>
  <c r="F110" i="47"/>
  <c r="F150" i="47"/>
  <c r="G60" i="61"/>
  <c r="C60" i="61"/>
  <c r="L60" i="61" s="1"/>
  <c r="H60" i="61" s="1"/>
  <c r="F61" i="61"/>
  <c r="G61" i="60"/>
  <c r="F62" i="60"/>
  <c r="C61" i="60"/>
  <c r="L61" i="60" s="1"/>
  <c r="H61" i="60" s="1"/>
  <c r="F63" i="20"/>
  <c r="C62" i="20"/>
  <c r="L62" i="20" s="1"/>
  <c r="G62" i="20"/>
  <c r="H61" i="20"/>
  <c r="F111" i="47" l="1"/>
  <c r="F151" i="47"/>
  <c r="F110" i="149"/>
  <c r="F135" i="149"/>
  <c r="F62" i="61"/>
  <c r="G61" i="61"/>
  <c r="C61" i="61"/>
  <c r="L61" i="61" s="1"/>
  <c r="H61" i="61" s="1"/>
  <c r="C63" i="20"/>
  <c r="L63" i="20" s="1"/>
  <c r="G63" i="20"/>
  <c r="F64" i="20"/>
  <c r="H62" i="20"/>
  <c r="G62" i="60"/>
  <c r="F63" i="60"/>
  <c r="C62" i="60"/>
  <c r="L62" i="60" s="1"/>
  <c r="H62" i="60" s="1"/>
  <c r="F111" i="149" l="1"/>
  <c r="F136" i="149"/>
  <c r="F112" i="47"/>
  <c r="F152" i="47"/>
  <c r="G62" i="61"/>
  <c r="F63" i="61"/>
  <c r="C62" i="61"/>
  <c r="L62" i="61" s="1"/>
  <c r="H62" i="61" s="1"/>
  <c r="H63" i="20"/>
  <c r="G64" i="20"/>
  <c r="C64" i="20"/>
  <c r="L64" i="20" s="1"/>
  <c r="F65" i="20"/>
  <c r="F64" i="60"/>
  <c r="G63" i="60"/>
  <c r="C63" i="60"/>
  <c r="L63" i="60" s="1"/>
  <c r="H63" i="60" s="1"/>
  <c r="F112" i="149" l="1"/>
  <c r="F137" i="149"/>
  <c r="F113" i="47"/>
  <c r="F153" i="47"/>
  <c r="G63" i="61"/>
  <c r="C63" i="61"/>
  <c r="L63" i="61" s="1"/>
  <c r="H63" i="61" s="1"/>
  <c r="F64" i="61"/>
  <c r="F65" i="60"/>
  <c r="C64" i="60"/>
  <c r="L64" i="60" s="1"/>
  <c r="H64" i="60" s="1"/>
  <c r="G64" i="60"/>
  <c r="C65" i="20"/>
  <c r="L65" i="20" s="1"/>
  <c r="G65" i="20"/>
  <c r="F66" i="20"/>
  <c r="H64" i="20"/>
  <c r="F113" i="149" l="1"/>
  <c r="F138" i="149"/>
  <c r="F114" i="47"/>
  <c r="F154" i="47"/>
  <c r="C64" i="61"/>
  <c r="L64" i="61" s="1"/>
  <c r="H64" i="61" s="1"/>
  <c r="G64" i="61"/>
  <c r="F65" i="61"/>
  <c r="H65" i="20"/>
  <c r="F66" i="60"/>
  <c r="G65" i="60"/>
  <c r="C65" i="60"/>
  <c r="L65" i="60" s="1"/>
  <c r="H65" i="60" s="1"/>
  <c r="C66" i="20"/>
  <c r="L66" i="20" s="1"/>
  <c r="F67" i="20"/>
  <c r="G66" i="20"/>
  <c r="F115" i="47" l="1"/>
  <c r="F155" i="47"/>
  <c r="F114" i="149"/>
  <c r="F139" i="149"/>
  <c r="C65" i="61"/>
  <c r="L65" i="61" s="1"/>
  <c r="H65" i="61" s="1"/>
  <c r="F66" i="61"/>
  <c r="G65" i="61"/>
  <c r="F68" i="20"/>
  <c r="G67" i="20"/>
  <c r="C67" i="20"/>
  <c r="L67" i="20" s="1"/>
  <c r="G66" i="60"/>
  <c r="C66" i="60"/>
  <c r="L66" i="60" s="1"/>
  <c r="H66" i="60" s="1"/>
  <c r="F67" i="60"/>
  <c r="H66" i="20"/>
  <c r="F115" i="149" l="1"/>
  <c r="F140" i="149"/>
  <c r="F116" i="47"/>
  <c r="F156" i="47"/>
  <c r="G66" i="61"/>
  <c r="F67" i="61"/>
  <c r="C66" i="61"/>
  <c r="L66" i="61" s="1"/>
  <c r="H66" i="61" s="1"/>
  <c r="H67" i="20"/>
  <c r="C68" i="20"/>
  <c r="L68" i="20" s="1"/>
  <c r="G68" i="20"/>
  <c r="F69" i="20"/>
  <c r="G67" i="60"/>
  <c r="F68" i="60"/>
  <c r="C67" i="60"/>
  <c r="L67" i="60" s="1"/>
  <c r="H67" i="60" s="1"/>
  <c r="F116" i="149" l="1"/>
  <c r="F141" i="149"/>
  <c r="F117" i="47"/>
  <c r="F157" i="47"/>
  <c r="C67" i="61"/>
  <c r="L67" i="61" s="1"/>
  <c r="H67" i="61" s="1"/>
  <c r="F68" i="61"/>
  <c r="G67" i="61"/>
  <c r="G68" i="60"/>
  <c r="C68" i="60"/>
  <c r="L68" i="60" s="1"/>
  <c r="H68" i="60" s="1"/>
  <c r="F69" i="60"/>
  <c r="H68" i="20"/>
  <c r="C69" i="20"/>
  <c r="L69" i="20" s="1"/>
  <c r="G69" i="20"/>
  <c r="F70" i="20"/>
  <c r="F118" i="47" l="1"/>
  <c r="F158" i="47"/>
  <c r="C68" i="61"/>
  <c r="L68" i="61" s="1"/>
  <c r="H68" i="61" s="1"/>
  <c r="G68" i="61"/>
  <c r="F69" i="61"/>
  <c r="H69" i="20"/>
  <c r="G70" i="20"/>
  <c r="C70" i="20"/>
  <c r="L70" i="20" s="1"/>
  <c r="F71" i="20"/>
  <c r="C69" i="60"/>
  <c r="L69" i="60" s="1"/>
  <c r="H69" i="60" s="1"/>
  <c r="G69" i="60"/>
  <c r="F70" i="60"/>
  <c r="F119" i="47" l="1"/>
  <c r="F159" i="47"/>
  <c r="F70" i="61"/>
  <c r="C69" i="61"/>
  <c r="L69" i="61" s="1"/>
  <c r="H69" i="61" s="1"/>
  <c r="G69" i="61"/>
  <c r="G71" i="20"/>
  <c r="C71" i="20"/>
  <c r="L71" i="20" s="1"/>
  <c r="F72" i="20"/>
  <c r="G70" i="60"/>
  <c r="F71" i="60"/>
  <c r="C70" i="60"/>
  <c r="L70" i="60" s="1"/>
  <c r="H70" i="60" s="1"/>
  <c r="H70" i="20"/>
  <c r="F120" i="47" l="1"/>
  <c r="F160" i="47"/>
  <c r="G70" i="61"/>
  <c r="C70" i="61"/>
  <c r="L70" i="61" s="1"/>
  <c r="H70" i="61" s="1"/>
  <c r="F71" i="61"/>
  <c r="H71" i="20"/>
  <c r="C72" i="20"/>
  <c r="L72" i="20" s="1"/>
  <c r="G72" i="20"/>
  <c r="F73" i="20"/>
  <c r="C71" i="60"/>
  <c r="L71" i="60" s="1"/>
  <c r="H71" i="60" s="1"/>
  <c r="G71" i="60"/>
  <c r="F72" i="60"/>
  <c r="F121" i="47" l="1"/>
  <c r="F161" i="47"/>
  <c r="F72" i="61"/>
  <c r="G71" i="61"/>
  <c r="C71" i="61"/>
  <c r="L71" i="61" s="1"/>
  <c r="H71" i="61" s="1"/>
  <c r="H72" i="20"/>
  <c r="F73" i="60"/>
  <c r="C72" i="60"/>
  <c r="L72" i="60" s="1"/>
  <c r="H72" i="60" s="1"/>
  <c r="G72" i="60"/>
  <c r="F74" i="20"/>
  <c r="G73" i="20"/>
  <c r="C73" i="20"/>
  <c r="L73" i="20" s="1"/>
  <c r="F122" i="47" l="1"/>
  <c r="F162" i="47"/>
  <c r="F73" i="61"/>
  <c r="G72" i="61"/>
  <c r="C72" i="61"/>
  <c r="L72" i="61" s="1"/>
  <c r="H72" i="61" s="1"/>
  <c r="F74" i="60"/>
  <c r="C73" i="60"/>
  <c r="L73" i="60" s="1"/>
  <c r="H73" i="60" s="1"/>
  <c r="G73" i="60"/>
  <c r="C74" i="20"/>
  <c r="L74" i="20" s="1"/>
  <c r="F75" i="20"/>
  <c r="G74" i="20"/>
  <c r="H73" i="20"/>
  <c r="F123" i="47" l="1"/>
  <c r="F163" i="47"/>
  <c r="C73" i="61"/>
  <c r="L73" i="61" s="1"/>
  <c r="H73" i="61" s="1"/>
  <c r="G73" i="61"/>
  <c r="F74" i="61"/>
  <c r="G75" i="20"/>
  <c r="F76" i="20"/>
  <c r="C75" i="20"/>
  <c r="L75" i="20" s="1"/>
  <c r="G74" i="60"/>
  <c r="C74" i="60"/>
  <c r="L74" i="60" s="1"/>
  <c r="H74" i="60" s="1"/>
  <c r="F75" i="60"/>
  <c r="H74" i="20"/>
  <c r="F124" i="47" l="1"/>
  <c r="F164" i="47"/>
  <c r="F75" i="61"/>
  <c r="G74" i="61"/>
  <c r="C74" i="61"/>
  <c r="L74" i="61" s="1"/>
  <c r="H74" i="61" s="1"/>
  <c r="H75" i="20"/>
  <c r="F76" i="60"/>
  <c r="C75" i="60"/>
  <c r="L75" i="60" s="1"/>
  <c r="H75" i="60" s="1"/>
  <c r="G75" i="60"/>
  <c r="G76" i="20"/>
  <c r="F77" i="20"/>
  <c r="C76" i="20"/>
  <c r="L76" i="20" s="1"/>
  <c r="F125" i="47" l="1"/>
  <c r="F165" i="47"/>
  <c r="F76" i="61"/>
  <c r="C75" i="61"/>
  <c r="L75" i="61" s="1"/>
  <c r="H75" i="61" s="1"/>
  <c r="G75" i="61"/>
  <c r="G77" i="20"/>
  <c r="F78" i="20"/>
  <c r="C77" i="20"/>
  <c r="L77" i="20" s="1"/>
  <c r="F77" i="60"/>
  <c r="C76" i="60"/>
  <c r="L76" i="60" s="1"/>
  <c r="H76" i="60" s="1"/>
  <c r="G76" i="60"/>
  <c r="H76" i="20"/>
  <c r="F126" i="47" l="1"/>
  <c r="F166" i="47"/>
  <c r="F77" i="61"/>
  <c r="C76" i="61"/>
  <c r="L76" i="61" s="1"/>
  <c r="H76" i="61" s="1"/>
  <c r="G76" i="61"/>
  <c r="H77" i="20"/>
  <c r="C77" i="60"/>
  <c r="L77" i="60" s="1"/>
  <c r="H77" i="60" s="1"/>
  <c r="F78" i="60"/>
  <c r="G77" i="60"/>
  <c r="F79" i="20"/>
  <c r="G78" i="20"/>
  <c r="C78" i="20"/>
  <c r="L78" i="20" s="1"/>
  <c r="F127" i="47" l="1"/>
  <c r="F167" i="47"/>
  <c r="F78" i="61"/>
  <c r="G77" i="61"/>
  <c r="C77" i="61"/>
  <c r="L77" i="61" s="1"/>
  <c r="H77" i="61" s="1"/>
  <c r="G78" i="60"/>
  <c r="F79" i="60"/>
  <c r="C78" i="60"/>
  <c r="L78" i="60" s="1"/>
  <c r="H78" i="60" s="1"/>
  <c r="C79" i="20"/>
  <c r="L79" i="20" s="1"/>
  <c r="F80" i="20"/>
  <c r="G79" i="20"/>
  <c r="H78" i="20"/>
  <c r="F128" i="47" l="1"/>
  <c r="F168" i="47"/>
  <c r="C78" i="61"/>
  <c r="L78" i="61" s="1"/>
  <c r="H78" i="61" s="1"/>
  <c r="G78" i="61"/>
  <c r="F79" i="61"/>
  <c r="H79" i="20"/>
  <c r="C80" i="20"/>
  <c r="L80" i="20" s="1"/>
  <c r="F81" i="20"/>
  <c r="G80" i="20"/>
  <c r="F80" i="60"/>
  <c r="G79" i="60"/>
  <c r="C79" i="60"/>
  <c r="L79" i="60" s="1"/>
  <c r="H79" i="60" s="1"/>
  <c r="F129" i="47" l="1"/>
  <c r="F169" i="47"/>
  <c r="F80" i="61"/>
  <c r="C79" i="61"/>
  <c r="L79" i="61" s="1"/>
  <c r="H79" i="61" s="1"/>
  <c r="G79" i="61"/>
  <c r="H80" i="20"/>
  <c r="F81" i="60"/>
  <c r="G80" i="60"/>
  <c r="C80" i="60"/>
  <c r="L80" i="60" s="1"/>
  <c r="H80" i="60" s="1"/>
  <c r="G81" i="20"/>
  <c r="F82" i="20"/>
  <c r="C81" i="20"/>
  <c r="L81" i="20" s="1"/>
  <c r="F130" i="47" l="1"/>
  <c r="F170" i="47"/>
  <c r="C80" i="61"/>
  <c r="L80" i="61" s="1"/>
  <c r="H80" i="61" s="1"/>
  <c r="G80" i="61"/>
  <c r="F81" i="61"/>
  <c r="C82" i="20"/>
  <c r="L82" i="20" s="1"/>
  <c r="F83" i="20"/>
  <c r="G82" i="20"/>
  <c r="F82" i="60"/>
  <c r="C81" i="60"/>
  <c r="L81" i="60" s="1"/>
  <c r="H81" i="60" s="1"/>
  <c r="G81" i="60"/>
  <c r="H81" i="20"/>
  <c r="F131" i="47" l="1"/>
  <c r="F171" i="47"/>
  <c r="H82" i="20"/>
  <c r="F82" i="61"/>
  <c r="G81" i="61"/>
  <c r="C81" i="61"/>
  <c r="L81" i="61" s="1"/>
  <c r="H81" i="61" s="1"/>
  <c r="C82" i="60"/>
  <c r="L82" i="60" s="1"/>
  <c r="H82" i="60" s="1"/>
  <c r="G82" i="60"/>
  <c r="F83" i="60"/>
  <c r="G83" i="20"/>
  <c r="F84" i="20"/>
  <c r="C83" i="20"/>
  <c r="L83" i="20" s="1"/>
  <c r="H83" i="20" l="1"/>
  <c r="F83" i="61"/>
  <c r="G82" i="61"/>
  <c r="C82" i="61"/>
  <c r="L82" i="61" s="1"/>
  <c r="H82" i="61" s="1"/>
  <c r="F85" i="20"/>
  <c r="G84" i="20"/>
  <c r="C84" i="20"/>
  <c r="L84" i="20" s="1"/>
  <c r="F84" i="60"/>
  <c r="C83" i="60"/>
  <c r="L83" i="60" s="1"/>
  <c r="H83" i="60" s="1"/>
  <c r="G83" i="60"/>
  <c r="H84" i="20" l="1"/>
  <c r="F84" i="61"/>
  <c r="C83" i="61"/>
  <c r="L83" i="61" s="1"/>
  <c r="H83" i="61" s="1"/>
  <c r="G83" i="61"/>
  <c r="F85" i="60"/>
  <c r="C84" i="60"/>
  <c r="L84" i="60" s="1"/>
  <c r="H84" i="60" s="1"/>
  <c r="G84" i="60"/>
  <c r="G85" i="20"/>
  <c r="F86" i="20"/>
  <c r="C85" i="20"/>
  <c r="L85" i="20" s="1"/>
  <c r="H85" i="20" l="1"/>
  <c r="G84" i="61"/>
  <c r="C84" i="61"/>
  <c r="L84" i="61" s="1"/>
  <c r="H84" i="61" s="1"/>
  <c r="F85" i="61"/>
  <c r="G86" i="20"/>
  <c r="C86" i="20"/>
  <c r="L86" i="20" s="1"/>
  <c r="F87" i="20"/>
  <c r="F86" i="60"/>
  <c r="C85" i="60"/>
  <c r="L85" i="60" s="1"/>
  <c r="H85" i="60" s="1"/>
  <c r="G85" i="60"/>
  <c r="H86" i="20" l="1"/>
  <c r="G85" i="61"/>
  <c r="F86" i="61"/>
  <c r="C85" i="61"/>
  <c r="L85" i="61" s="1"/>
  <c r="H85" i="61" s="1"/>
  <c r="G86" i="60"/>
  <c r="C86" i="60"/>
  <c r="L86" i="60" s="1"/>
  <c r="H86" i="60" s="1"/>
  <c r="F87" i="60"/>
  <c r="F88" i="20"/>
  <c r="C87" i="20"/>
  <c r="L87" i="20" s="1"/>
  <c r="G87" i="20"/>
  <c r="H87" i="20" l="1"/>
  <c r="C86" i="61"/>
  <c r="L86" i="61" s="1"/>
  <c r="H86" i="61" s="1"/>
  <c r="F87" i="61"/>
  <c r="G86" i="61"/>
  <c r="C88" i="20"/>
  <c r="L88" i="20" s="1"/>
  <c r="G88" i="20"/>
  <c r="F89" i="20"/>
  <c r="G87" i="60"/>
  <c r="F88" i="60"/>
  <c r="C87" i="60"/>
  <c r="L87" i="60" s="1"/>
  <c r="H87" i="60" s="1"/>
  <c r="H88" i="20" l="1"/>
  <c r="F88" i="61"/>
  <c r="C87" i="61"/>
  <c r="L87" i="61" s="1"/>
  <c r="H87" i="61" s="1"/>
  <c r="G87" i="61"/>
  <c r="C88" i="60"/>
  <c r="L88" i="60" s="1"/>
  <c r="H88" i="60" s="1"/>
  <c r="F89" i="60"/>
  <c r="G88" i="60"/>
  <c r="F90" i="20"/>
  <c r="C89" i="20"/>
  <c r="L89" i="20" s="1"/>
  <c r="G89" i="20"/>
  <c r="H89" i="20" l="1"/>
  <c r="C88" i="61"/>
  <c r="L88" i="61" s="1"/>
  <c r="H88" i="61" s="1"/>
  <c r="F89" i="61"/>
  <c r="G88" i="61"/>
  <c r="F90" i="60"/>
  <c r="C89" i="60"/>
  <c r="L89" i="60" s="1"/>
  <c r="H89" i="60" s="1"/>
  <c r="G89" i="60"/>
  <c r="G90" i="20"/>
  <c r="F91" i="20"/>
  <c r="C90" i="20"/>
  <c r="L90" i="20" s="1"/>
  <c r="H90" i="20" l="1"/>
  <c r="G89" i="61"/>
  <c r="F90" i="61"/>
  <c r="C89" i="61"/>
  <c r="L89" i="61" s="1"/>
  <c r="H89" i="61" s="1"/>
  <c r="C91" i="20"/>
  <c r="L91" i="20" s="1"/>
  <c r="F92" i="20"/>
  <c r="G91" i="20"/>
  <c r="G90" i="60"/>
  <c r="C90" i="60"/>
  <c r="L90" i="60" s="1"/>
  <c r="H90" i="60" s="1"/>
  <c r="F91" i="60"/>
  <c r="H91" i="20" l="1"/>
  <c r="G90" i="61"/>
  <c r="F91" i="61"/>
  <c r="C90" i="61"/>
  <c r="L90" i="61" s="1"/>
  <c r="H90" i="61" s="1"/>
  <c r="G91" i="60"/>
  <c r="F92" i="60"/>
  <c r="C91" i="60"/>
  <c r="L91" i="60" s="1"/>
  <c r="H91" i="60" s="1"/>
  <c r="C92" i="20"/>
  <c r="L92" i="20" s="1"/>
  <c r="G92" i="20"/>
  <c r="F93" i="20"/>
  <c r="H92" i="20" l="1"/>
  <c r="C91" i="61"/>
  <c r="L91" i="61" s="1"/>
  <c r="H91" i="61" s="1"/>
  <c r="G91" i="61"/>
  <c r="F92" i="61"/>
  <c r="C93" i="20"/>
  <c r="L93" i="20" s="1"/>
  <c r="H93" i="20" s="1"/>
  <c r="F94" i="20"/>
  <c r="G93" i="20"/>
  <c r="F93" i="60"/>
  <c r="C92" i="60"/>
  <c r="L92" i="60" s="1"/>
  <c r="H92" i="60" s="1"/>
  <c r="G92" i="60"/>
  <c r="F93" i="61" l="1"/>
  <c r="G92" i="61"/>
  <c r="C92" i="61"/>
  <c r="L92" i="61" s="1"/>
  <c r="H92" i="61" s="1"/>
  <c r="C93" i="60"/>
  <c r="L93" i="60" s="1"/>
  <c r="H93" i="60" s="1"/>
  <c r="F94" i="60"/>
  <c r="G93" i="60"/>
  <c r="C94" i="20"/>
  <c r="L94" i="20" s="1"/>
  <c r="H94" i="20" s="1"/>
  <c r="F95" i="20"/>
  <c r="G94" i="20"/>
  <c r="G93" i="61" l="1"/>
  <c r="C93" i="61"/>
  <c r="L93" i="61" s="1"/>
  <c r="H93" i="61" s="1"/>
  <c r="F94" i="61"/>
  <c r="F96" i="20"/>
  <c r="G95" i="20"/>
  <c r="C95" i="20"/>
  <c r="L95" i="20" s="1"/>
  <c r="H95" i="20" s="1"/>
  <c r="C94" i="60"/>
  <c r="L94" i="60" s="1"/>
  <c r="H94" i="60" s="1"/>
  <c r="F95" i="60"/>
  <c r="G94" i="60"/>
  <c r="G94" i="61" l="1"/>
  <c r="C94" i="61"/>
  <c r="L94" i="61" s="1"/>
  <c r="H94" i="61" s="1"/>
  <c r="F95" i="61"/>
  <c r="G95" i="60"/>
  <c r="F96" i="60"/>
  <c r="C95" i="60"/>
  <c r="L95" i="60" s="1"/>
  <c r="H95" i="60" s="1"/>
  <c r="F97" i="20"/>
  <c r="G96" i="20"/>
  <c r="C96" i="20"/>
  <c r="L96" i="20" s="1"/>
  <c r="H96" i="20" s="1"/>
  <c r="C95" i="61" l="1"/>
  <c r="L95" i="61" s="1"/>
  <c r="H95" i="61" s="1"/>
  <c r="F96" i="61"/>
  <c r="G95" i="61"/>
  <c r="F97" i="60"/>
  <c r="G96" i="60"/>
  <c r="C96" i="60"/>
  <c r="L96" i="60" s="1"/>
  <c r="H96" i="60" s="1"/>
  <c r="F98" i="20"/>
  <c r="C97" i="20"/>
  <c r="L97" i="20" s="1"/>
  <c r="H97" i="20" s="1"/>
  <c r="G97" i="20"/>
  <c r="C96" i="61" l="1"/>
  <c r="L96" i="61" s="1"/>
  <c r="H96" i="61" s="1"/>
  <c r="F97" i="61"/>
  <c r="G96" i="61"/>
  <c r="G98" i="20"/>
  <c r="C98" i="20"/>
  <c r="L98" i="20" s="1"/>
  <c r="H98" i="20" s="1"/>
  <c r="F99" i="20"/>
  <c r="G97" i="60"/>
  <c r="F98" i="60"/>
  <c r="C97" i="60"/>
  <c r="L97" i="60" s="1"/>
  <c r="H97" i="60" s="1"/>
  <c r="F98" i="61" l="1"/>
  <c r="C97" i="61"/>
  <c r="L97" i="61" s="1"/>
  <c r="H97" i="61" s="1"/>
  <c r="G97" i="61"/>
  <c r="F99" i="60"/>
  <c r="G98" i="60"/>
  <c r="C98" i="60"/>
  <c r="L98" i="60" s="1"/>
  <c r="H98" i="60" s="1"/>
  <c r="C99" i="20"/>
  <c r="L99" i="20" s="1"/>
  <c r="H99" i="20" s="1"/>
  <c r="G99" i="20"/>
  <c r="F100" i="20"/>
  <c r="F99" i="61" l="1"/>
  <c r="G98" i="61"/>
  <c r="C98" i="61"/>
  <c r="L98" i="61" s="1"/>
  <c r="H98" i="61" s="1"/>
  <c r="F101" i="20"/>
  <c r="G100" i="20"/>
  <c r="C100" i="20"/>
  <c r="L100" i="20" s="1"/>
  <c r="H100" i="20" s="1"/>
  <c r="F100" i="60"/>
  <c r="C99" i="60"/>
  <c r="L99" i="60" s="1"/>
  <c r="H99" i="60" s="1"/>
  <c r="G99" i="60"/>
  <c r="F100" i="61" l="1"/>
  <c r="G99" i="61"/>
  <c r="C99" i="61"/>
  <c r="L99" i="61" s="1"/>
  <c r="H99" i="61" s="1"/>
  <c r="F101" i="60"/>
  <c r="C100" i="60"/>
  <c r="L100" i="60" s="1"/>
  <c r="H100" i="60" s="1"/>
  <c r="G100" i="60"/>
  <c r="C101" i="20"/>
  <c r="L101" i="20" s="1"/>
  <c r="H101" i="20" s="1"/>
  <c r="G101" i="20"/>
  <c r="F102" i="20"/>
  <c r="F101" i="61" l="1"/>
  <c r="G100" i="61"/>
  <c r="C100" i="61"/>
  <c r="L100" i="61" s="1"/>
  <c r="H100" i="61" s="1"/>
  <c r="C101" i="60"/>
  <c r="L101" i="60" s="1"/>
  <c r="H101" i="60" s="1"/>
  <c r="F102" i="60"/>
  <c r="G101" i="60"/>
  <c r="F103" i="20"/>
  <c r="C102" i="20"/>
  <c r="L102" i="20" s="1"/>
  <c r="H102" i="20" s="1"/>
  <c r="G102" i="20"/>
  <c r="F102" i="61" l="1"/>
  <c r="C101" i="61"/>
  <c r="L101" i="61" s="1"/>
  <c r="H101" i="61" s="1"/>
  <c r="G101" i="61"/>
  <c r="G103" i="20"/>
  <c r="C103" i="20"/>
  <c r="L103" i="20" s="1"/>
  <c r="H103" i="20" s="1"/>
  <c r="F104" i="20"/>
  <c r="F103" i="60"/>
  <c r="G102" i="60"/>
  <c r="C102" i="60"/>
  <c r="L102" i="60" s="1"/>
  <c r="H102" i="60" s="1"/>
  <c r="F103" i="61" l="1"/>
  <c r="G102" i="61"/>
  <c r="C102" i="61"/>
  <c r="L102" i="61" s="1"/>
  <c r="H102" i="61" s="1"/>
  <c r="C104" i="20"/>
  <c r="L104" i="20" s="1"/>
  <c r="H104" i="20" s="1"/>
  <c r="G104" i="20"/>
  <c r="F105" i="20"/>
  <c r="F104" i="60"/>
  <c r="G103" i="60"/>
  <c r="C103" i="60"/>
  <c r="L103" i="60" s="1"/>
  <c r="H103" i="60" s="1"/>
  <c r="C103" i="61" l="1"/>
  <c r="L103" i="61" s="1"/>
  <c r="H103" i="61" s="1"/>
  <c r="G103" i="61"/>
  <c r="F104" i="61"/>
  <c r="F106" i="20"/>
  <c r="G105" i="20"/>
  <c r="C105" i="20"/>
  <c r="L105" i="20" s="1"/>
  <c r="H105" i="20" s="1"/>
  <c r="C104" i="60"/>
  <c r="L104" i="60" s="1"/>
  <c r="H104" i="60" s="1"/>
  <c r="G104" i="60"/>
  <c r="F105" i="60"/>
  <c r="C104" i="61" l="1"/>
  <c r="L104" i="61" s="1"/>
  <c r="H104" i="61" s="1"/>
  <c r="G104" i="61"/>
  <c r="F105" i="61"/>
  <c r="F106" i="60"/>
  <c r="G105" i="60"/>
  <c r="C105" i="60"/>
  <c r="L105" i="60" s="1"/>
  <c r="H105" i="60" s="1"/>
  <c r="C106" i="20"/>
  <c r="L106" i="20" s="1"/>
  <c r="H106" i="20" s="1"/>
  <c r="G106" i="20"/>
  <c r="F107" i="20"/>
  <c r="F106" i="61" l="1"/>
  <c r="G105" i="61"/>
  <c r="C105" i="61"/>
  <c r="L105" i="61" s="1"/>
  <c r="H105" i="61" s="1"/>
  <c r="C107" i="20"/>
  <c r="L107" i="20" s="1"/>
  <c r="H107" i="20" s="1"/>
  <c r="G107" i="20"/>
  <c r="F108" i="20"/>
  <c r="C106" i="60"/>
  <c r="L106" i="60" s="1"/>
  <c r="H106" i="60" s="1"/>
  <c r="G106" i="60"/>
  <c r="F107" i="60"/>
  <c r="G106" i="61" l="1"/>
  <c r="F107" i="61"/>
  <c r="C106" i="61"/>
  <c r="L106" i="61" s="1"/>
  <c r="H106" i="61" s="1"/>
  <c r="C107" i="60"/>
  <c r="L107" i="60" s="1"/>
  <c r="H107" i="60" s="1"/>
  <c r="F108" i="60"/>
  <c r="G107" i="60"/>
  <c r="F109" i="20"/>
  <c r="G108" i="20"/>
  <c r="C108" i="20"/>
  <c r="L108" i="20" s="1"/>
  <c r="H108" i="20" s="1"/>
  <c r="G107" i="61" l="1"/>
  <c r="F108" i="61"/>
  <c r="C107" i="61"/>
  <c r="L107" i="61" s="1"/>
  <c r="H107" i="61" s="1"/>
  <c r="C109" i="20"/>
  <c r="L109" i="20" s="1"/>
  <c r="H109" i="20" s="1"/>
  <c r="G109" i="20"/>
  <c r="F110" i="20"/>
  <c r="F109" i="60"/>
  <c r="C108" i="60"/>
  <c r="L108" i="60" s="1"/>
  <c r="H108" i="60" s="1"/>
  <c r="G108" i="60"/>
  <c r="G108" i="61" l="1"/>
  <c r="C108" i="61"/>
  <c r="L108" i="61" s="1"/>
  <c r="H108" i="61" s="1"/>
  <c r="F109" i="61"/>
  <c r="F110" i="60"/>
  <c r="G109" i="60"/>
  <c r="C109" i="60"/>
  <c r="L109" i="60" s="1"/>
  <c r="H109" i="60" s="1"/>
  <c r="F111" i="20"/>
  <c r="G110" i="20"/>
  <c r="C110" i="20"/>
  <c r="L110" i="20" s="1"/>
  <c r="H110" i="20" s="1"/>
  <c r="C109" i="61" l="1"/>
  <c r="L109" i="61" s="1"/>
  <c r="H109" i="61" s="1"/>
  <c r="G109" i="61"/>
  <c r="F110" i="61"/>
  <c r="F112" i="20"/>
  <c r="C111" i="20"/>
  <c r="L111" i="20" s="1"/>
  <c r="H111" i="20" s="1"/>
  <c r="G111" i="20"/>
  <c r="C110" i="60"/>
  <c r="L110" i="60" s="1"/>
  <c r="H110" i="60" s="1"/>
  <c r="F111" i="60"/>
  <c r="G110" i="60"/>
  <c r="C110" i="61" l="1"/>
  <c r="L110" i="61" s="1"/>
  <c r="H110" i="61" s="1"/>
  <c r="F111" i="61"/>
  <c r="G110" i="61"/>
  <c r="F112" i="60"/>
  <c r="G111" i="60"/>
  <c r="C111" i="60"/>
  <c r="L111" i="60" s="1"/>
  <c r="H111" i="60" s="1"/>
  <c r="C112" i="20"/>
  <c r="L112" i="20" s="1"/>
  <c r="H112" i="20" s="1"/>
  <c r="G112" i="20"/>
  <c r="F113" i="20"/>
  <c r="C111" i="61" l="1"/>
  <c r="L111" i="61" s="1"/>
  <c r="H111" i="61" s="1"/>
  <c r="G111" i="61"/>
  <c r="F112" i="61"/>
  <c r="F113" i="60"/>
  <c r="G112" i="60"/>
  <c r="C112" i="60"/>
  <c r="L112" i="60" s="1"/>
  <c r="H112" i="60" s="1"/>
  <c r="G113" i="20"/>
  <c r="F114" i="20"/>
  <c r="C113" i="20"/>
  <c r="L113" i="20" s="1"/>
  <c r="H113" i="20" s="1"/>
  <c r="C112" i="61" l="1"/>
  <c r="L112" i="61" s="1"/>
  <c r="H112" i="61" s="1"/>
  <c r="G112" i="61"/>
  <c r="F113" i="61"/>
  <c r="F115" i="20"/>
  <c r="G114" i="20"/>
  <c r="C114" i="20"/>
  <c r="L114" i="20" s="1"/>
  <c r="H114" i="20" s="1"/>
  <c r="F114" i="60"/>
  <c r="C113" i="60"/>
  <c r="L113" i="60" s="1"/>
  <c r="H113" i="60" s="1"/>
  <c r="G113" i="60"/>
  <c r="C113" i="61" l="1"/>
  <c r="L113" i="61" s="1"/>
  <c r="H113" i="61" s="1"/>
  <c r="F114" i="61"/>
  <c r="G113" i="61"/>
  <c r="G115" i="20"/>
  <c r="F116" i="20"/>
  <c r="C115" i="20"/>
  <c r="L115" i="20" s="1"/>
  <c r="H115" i="20" s="1"/>
  <c r="F115" i="60"/>
  <c r="C114" i="60"/>
  <c r="L114" i="60" s="1"/>
  <c r="H114" i="60" s="1"/>
  <c r="G114" i="60"/>
  <c r="F115" i="61" l="1"/>
  <c r="G114" i="61"/>
  <c r="C114" i="61"/>
  <c r="L114" i="61" s="1"/>
  <c r="H114" i="61" s="1"/>
  <c r="F116" i="60"/>
  <c r="G115" i="60"/>
  <c r="C115" i="60"/>
  <c r="L115" i="60" s="1"/>
  <c r="H115" i="60" s="1"/>
  <c r="G116" i="20"/>
  <c r="C116" i="20"/>
  <c r="L116" i="20" s="1"/>
  <c r="H116" i="20" s="1"/>
  <c r="F117" i="20"/>
  <c r="G115" i="61" l="1"/>
  <c r="C115" i="61"/>
  <c r="L115" i="61" s="1"/>
  <c r="H115" i="61" s="1"/>
  <c r="F116" i="61"/>
  <c r="F118" i="20"/>
  <c r="C117" i="20"/>
  <c r="L117" i="20" s="1"/>
  <c r="H117" i="20" s="1"/>
  <c r="G117" i="20"/>
  <c r="F117" i="60"/>
  <c r="C116" i="60"/>
  <c r="L116" i="60" s="1"/>
  <c r="H116" i="60" s="1"/>
  <c r="G116" i="60"/>
  <c r="C116" i="61" l="1"/>
  <c r="L116" i="61" s="1"/>
  <c r="H116" i="61" s="1"/>
  <c r="G116" i="61"/>
  <c r="F117" i="61"/>
  <c r="F118" i="60"/>
  <c r="C117" i="60"/>
  <c r="L117" i="60" s="1"/>
  <c r="H117" i="60" s="1"/>
  <c r="G117" i="60"/>
  <c r="G118" i="20"/>
  <c r="F119" i="20"/>
  <c r="C118" i="20"/>
  <c r="L118" i="20" s="1"/>
  <c r="H118" i="20" s="1"/>
  <c r="F118" i="61" l="1"/>
  <c r="G117" i="61"/>
  <c r="C117" i="61"/>
  <c r="L117" i="61" s="1"/>
  <c r="H117" i="61" s="1"/>
  <c r="F119" i="60"/>
  <c r="C118" i="60"/>
  <c r="L118" i="60" s="1"/>
  <c r="H118" i="60" s="1"/>
  <c r="G118" i="60"/>
  <c r="G119" i="20"/>
  <c r="C119" i="20"/>
  <c r="L119" i="20" s="1"/>
  <c r="H119" i="20" s="1"/>
  <c r="F120" i="20"/>
  <c r="C118" i="61" l="1"/>
  <c r="L118" i="61" s="1"/>
  <c r="H118" i="61" s="1"/>
  <c r="G118" i="61"/>
  <c r="F119" i="61"/>
  <c r="C120" i="20"/>
  <c r="L120" i="20" s="1"/>
  <c r="H120" i="20" s="1"/>
  <c r="G120" i="20"/>
  <c r="F121" i="20"/>
  <c r="G119" i="60"/>
  <c r="C119" i="60"/>
  <c r="L119" i="60" s="1"/>
  <c r="H119" i="60" s="1"/>
  <c r="F120" i="60"/>
  <c r="F120" i="61" l="1"/>
  <c r="C119" i="61"/>
  <c r="L119" i="61" s="1"/>
  <c r="H119" i="61" s="1"/>
  <c r="G119" i="61"/>
  <c r="C120" i="60"/>
  <c r="L120" i="60" s="1"/>
  <c r="H120" i="60" s="1"/>
  <c r="G120" i="60"/>
  <c r="F121" i="60"/>
  <c r="F122" i="20"/>
  <c r="G121" i="20"/>
  <c r="C121" i="20"/>
  <c r="L121" i="20" s="1"/>
  <c r="H121" i="20" s="1"/>
  <c r="F121" i="61" l="1"/>
  <c r="C120" i="61"/>
  <c r="L120" i="61" s="1"/>
  <c r="H120" i="61" s="1"/>
  <c r="G120" i="61"/>
  <c r="C122" i="20"/>
  <c r="L122" i="20" s="1"/>
  <c r="H122" i="20" s="1"/>
  <c r="F123" i="20"/>
  <c r="G122" i="20"/>
  <c r="F122" i="60"/>
  <c r="C121" i="60"/>
  <c r="L121" i="60" s="1"/>
  <c r="H121" i="60" s="1"/>
  <c r="G121" i="60"/>
  <c r="C121" i="61" l="1"/>
  <c r="L121" i="61" s="1"/>
  <c r="H121" i="61" s="1"/>
  <c r="F122" i="61"/>
  <c r="G121" i="61"/>
  <c r="F124" i="20"/>
  <c r="C123" i="20"/>
  <c r="L123" i="20" s="1"/>
  <c r="H123" i="20" s="1"/>
  <c r="G123" i="20"/>
  <c r="C122" i="60"/>
  <c r="L122" i="60" s="1"/>
  <c r="H122" i="60" s="1"/>
  <c r="F123" i="60"/>
  <c r="G122" i="60"/>
  <c r="G122" i="61" l="1"/>
  <c r="F123" i="61"/>
  <c r="C122" i="61"/>
  <c r="L122" i="61" s="1"/>
  <c r="H122" i="61" s="1"/>
  <c r="F124" i="60"/>
  <c r="C123" i="60"/>
  <c r="L123" i="60" s="1"/>
  <c r="H123" i="60" s="1"/>
  <c r="G123" i="60"/>
  <c r="F125" i="20"/>
  <c r="G124" i="20"/>
  <c r="C124" i="20"/>
  <c r="L124" i="20" s="1"/>
  <c r="H124" i="20" s="1"/>
  <c r="C123" i="61" l="1"/>
  <c r="L123" i="61" s="1"/>
  <c r="H123" i="61" s="1"/>
  <c r="F124" i="61"/>
  <c r="G123" i="61"/>
  <c r="F126" i="20"/>
  <c r="G125" i="20"/>
  <c r="C125" i="20"/>
  <c r="L125" i="20" s="1"/>
  <c r="H125" i="20" s="1"/>
  <c r="F125" i="60"/>
  <c r="C124" i="60"/>
  <c r="L124" i="60" s="1"/>
  <c r="H124" i="60" s="1"/>
  <c r="G124" i="60"/>
  <c r="F125" i="61" l="1"/>
  <c r="C124" i="61"/>
  <c r="L124" i="61" s="1"/>
  <c r="H124" i="61" s="1"/>
  <c r="G124" i="61"/>
  <c r="C125" i="60"/>
  <c r="L125" i="60" s="1"/>
  <c r="H125" i="60" s="1"/>
  <c r="G125" i="60"/>
  <c r="F126" i="60"/>
  <c r="C126" i="20"/>
  <c r="L126" i="20" s="1"/>
  <c r="H126" i="20" s="1"/>
  <c r="F127" i="20"/>
  <c r="G126" i="20"/>
  <c r="F126" i="61" l="1"/>
  <c r="G125" i="61"/>
  <c r="C125" i="61"/>
  <c r="L125" i="61" s="1"/>
  <c r="H125" i="61" s="1"/>
  <c r="G127" i="20"/>
  <c r="F128" i="20"/>
  <c r="C127" i="20"/>
  <c r="L127" i="20" s="1"/>
  <c r="H127" i="20" s="1"/>
  <c r="G126" i="60"/>
  <c r="C126" i="60"/>
  <c r="L126" i="60" s="1"/>
  <c r="H126" i="60" s="1"/>
  <c r="F127" i="60"/>
  <c r="C126" i="61" l="1"/>
  <c r="L126" i="61" s="1"/>
  <c r="H126" i="61" s="1"/>
  <c r="F127" i="61"/>
  <c r="G126" i="61"/>
  <c r="C127" i="60"/>
  <c r="L127" i="60" s="1"/>
  <c r="H127" i="60" s="1"/>
  <c r="F128" i="60"/>
  <c r="G127" i="60"/>
  <c r="G128" i="20"/>
  <c r="F129" i="20"/>
  <c r="C128" i="20"/>
  <c r="L128" i="20" s="1"/>
  <c r="H128" i="20" s="1"/>
  <c r="G127" i="61" l="1"/>
  <c r="F128" i="61"/>
  <c r="C127" i="61"/>
  <c r="L127" i="61" s="1"/>
  <c r="H127" i="61" s="1"/>
  <c r="C128" i="60"/>
  <c r="L128" i="60" s="1"/>
  <c r="H128" i="60" s="1"/>
  <c r="G128" i="60"/>
  <c r="F129" i="60"/>
  <c r="F130" i="20"/>
  <c r="G129" i="20"/>
  <c r="C129" i="20"/>
  <c r="L129" i="20" s="1"/>
  <c r="H129" i="20" s="1"/>
  <c r="C128" i="61" l="1"/>
  <c r="L128" i="61" s="1"/>
  <c r="H128" i="61" s="1"/>
  <c r="F129" i="61"/>
  <c r="G128" i="61"/>
  <c r="G130" i="20"/>
  <c r="F131" i="20"/>
  <c r="C130" i="20"/>
  <c r="L130" i="20" s="1"/>
  <c r="H130" i="20" s="1"/>
  <c r="F130" i="60"/>
  <c r="G129" i="60"/>
  <c r="C129" i="60"/>
  <c r="L129" i="60" s="1"/>
  <c r="H129" i="60" s="1"/>
  <c r="G129" i="61" l="1"/>
  <c r="C129" i="61"/>
  <c r="L129" i="61" s="1"/>
  <c r="H129" i="61" s="1"/>
  <c r="F130" i="61"/>
  <c r="G130" i="60"/>
  <c r="C130" i="60"/>
  <c r="L130" i="60" s="1"/>
  <c r="H130" i="60" s="1"/>
  <c r="F131" i="60"/>
  <c r="C131" i="20"/>
  <c r="L131" i="20" s="1"/>
  <c r="H131" i="20" s="1"/>
  <c r="G131" i="20"/>
  <c r="F132" i="20"/>
  <c r="C130" i="61" l="1"/>
  <c r="L130" i="61" s="1"/>
  <c r="H130" i="61" s="1"/>
  <c r="G130" i="61"/>
  <c r="F131" i="61"/>
  <c r="F133" i="20"/>
  <c r="C132" i="20"/>
  <c r="L132" i="20" s="1"/>
  <c r="H132" i="20" s="1"/>
  <c r="G132" i="20"/>
  <c r="G131" i="60"/>
  <c r="C131" i="60"/>
  <c r="L131" i="60" s="1"/>
  <c r="H131" i="60" s="1"/>
  <c r="F132" i="60"/>
  <c r="F132" i="61" l="1"/>
  <c r="G131" i="61"/>
  <c r="C131" i="61"/>
  <c r="L131" i="61" s="1"/>
  <c r="H131" i="61" s="1"/>
  <c r="C132" i="60"/>
  <c r="L132" i="60" s="1"/>
  <c r="H132" i="60" s="1"/>
  <c r="G132" i="60"/>
  <c r="F133" i="60"/>
  <c r="G133" i="20"/>
  <c r="F134" i="20"/>
  <c r="C133" i="20"/>
  <c r="L133" i="20" s="1"/>
  <c r="H133" i="20" s="1"/>
  <c r="C132" i="61" l="1"/>
  <c r="L132" i="61" s="1"/>
  <c r="H132" i="61" s="1"/>
  <c r="F133" i="61"/>
  <c r="G132" i="61"/>
  <c r="F134" i="60"/>
  <c r="C133" i="60"/>
  <c r="L133" i="60" s="1"/>
  <c r="H133" i="60" s="1"/>
  <c r="G133" i="60"/>
  <c r="C134" i="20"/>
  <c r="L134" i="20" s="1"/>
  <c r="H134" i="20" s="1"/>
  <c r="F135" i="20"/>
  <c r="G134" i="20"/>
  <c r="C133" i="61" l="1"/>
  <c r="L133" i="61" s="1"/>
  <c r="H133" i="61" s="1"/>
  <c r="G133" i="61"/>
  <c r="F134" i="61"/>
  <c r="F136" i="20"/>
  <c r="C135" i="20"/>
  <c r="L135" i="20" s="1"/>
  <c r="H135" i="20" s="1"/>
  <c r="G135" i="20"/>
  <c r="G134" i="60"/>
  <c r="C134" i="60"/>
  <c r="L134" i="60" s="1"/>
  <c r="H134" i="60" s="1"/>
  <c r="F135" i="60"/>
  <c r="C134" i="61" l="1"/>
  <c r="L134" i="61" s="1"/>
  <c r="H134" i="61" s="1"/>
  <c r="G134" i="61"/>
  <c r="F135" i="61"/>
  <c r="G136" i="20"/>
  <c r="C136" i="20"/>
  <c r="L136" i="20" s="1"/>
  <c r="H136" i="20" s="1"/>
  <c r="F137" i="20"/>
  <c r="C135" i="60"/>
  <c r="L135" i="60" s="1"/>
  <c r="H135" i="60" s="1"/>
  <c r="F136" i="60"/>
  <c r="G135" i="60"/>
  <c r="F136" i="61" l="1"/>
  <c r="G135" i="61"/>
  <c r="C135" i="61"/>
  <c r="L135" i="61" s="1"/>
  <c r="H135" i="61" s="1"/>
  <c r="F137" i="60"/>
  <c r="G136" i="60"/>
  <c r="C136" i="60"/>
  <c r="L136" i="60" s="1"/>
  <c r="H136" i="60" s="1"/>
  <c r="F138" i="20"/>
  <c r="G137" i="20"/>
  <c r="C137" i="20"/>
  <c r="L137" i="20" s="1"/>
  <c r="H137" i="20" s="1"/>
  <c r="F137" i="61" l="1"/>
  <c r="G136" i="61"/>
  <c r="C136" i="61"/>
  <c r="L136" i="61" s="1"/>
  <c r="H136" i="61" s="1"/>
  <c r="C138" i="20"/>
  <c r="L138" i="20" s="1"/>
  <c r="H138" i="20" s="1"/>
  <c r="G138" i="20"/>
  <c r="F139" i="20"/>
  <c r="G137" i="60"/>
  <c r="C137" i="60"/>
  <c r="L137" i="60" s="1"/>
  <c r="H137" i="60" s="1"/>
  <c r="F138" i="60"/>
  <c r="F138" i="61" l="1"/>
  <c r="G137" i="61"/>
  <c r="C137" i="61"/>
  <c r="L137" i="61" s="1"/>
  <c r="H137" i="61" s="1"/>
  <c r="C139" i="20"/>
  <c r="L139" i="20" s="1"/>
  <c r="H139" i="20" s="1"/>
  <c r="F140" i="20"/>
  <c r="G139" i="20"/>
  <c r="C138" i="60"/>
  <c r="L138" i="60" s="1"/>
  <c r="H138" i="60" s="1"/>
  <c r="G138" i="60"/>
  <c r="F139" i="60"/>
  <c r="F139" i="61" l="1"/>
  <c r="C138" i="61"/>
  <c r="L138" i="61" s="1"/>
  <c r="H138" i="61" s="1"/>
  <c r="G138" i="61"/>
  <c r="C140" i="20"/>
  <c r="L140" i="20" s="1"/>
  <c r="H140" i="20" s="1"/>
  <c r="G140" i="20"/>
  <c r="F141" i="20"/>
  <c r="F140" i="60"/>
  <c r="C139" i="60"/>
  <c r="L139" i="60" s="1"/>
  <c r="H139" i="60" s="1"/>
  <c r="G139" i="60"/>
  <c r="F140" i="61" l="1"/>
  <c r="G139" i="61"/>
  <c r="C139" i="61"/>
  <c r="L139" i="61" s="1"/>
  <c r="H139" i="61" s="1"/>
  <c r="F142" i="20"/>
  <c r="G141" i="20"/>
  <c r="C141" i="20"/>
  <c r="L141" i="20" s="1"/>
  <c r="H141" i="20" s="1"/>
  <c r="C140" i="60"/>
  <c r="L140" i="60" s="1"/>
  <c r="H140" i="60" s="1"/>
  <c r="G140" i="60"/>
  <c r="F141" i="60"/>
  <c r="F141" i="61" l="1"/>
  <c r="G140" i="61"/>
  <c r="C140" i="61"/>
  <c r="L140" i="61" s="1"/>
  <c r="H140" i="61" s="1"/>
  <c r="F142" i="60"/>
  <c r="C141" i="60"/>
  <c r="L141" i="60" s="1"/>
  <c r="H141" i="60" s="1"/>
  <c r="G141" i="60"/>
  <c r="C142" i="20"/>
  <c r="L142" i="20" s="1"/>
  <c r="H142" i="20" s="1"/>
  <c r="F143" i="20"/>
  <c r="G142" i="20"/>
  <c r="C141" i="61" l="1"/>
  <c r="L141" i="61" s="1"/>
  <c r="H141" i="61" s="1"/>
  <c r="G141" i="61"/>
  <c r="F142" i="61"/>
  <c r="C142" i="60"/>
  <c r="L142" i="60" s="1"/>
  <c r="H142" i="60" s="1"/>
  <c r="G142" i="60"/>
  <c r="F143" i="60"/>
  <c r="G143" i="20"/>
  <c r="F144" i="20"/>
  <c r="C143" i="20"/>
  <c r="L143" i="20" s="1"/>
  <c r="H143" i="20" s="1"/>
  <c r="G142" i="61" l="1"/>
  <c r="C142" i="61"/>
  <c r="L142" i="61" s="1"/>
  <c r="H142" i="61" s="1"/>
  <c r="F143" i="61"/>
  <c r="C144" i="20"/>
  <c r="L144" i="20" s="1"/>
  <c r="H144" i="20" s="1"/>
  <c r="F145" i="20"/>
  <c r="G144" i="20"/>
  <c r="F144" i="60"/>
  <c r="G143" i="60"/>
  <c r="C143" i="60"/>
  <c r="L143" i="60" s="1"/>
  <c r="H143" i="60" s="1"/>
  <c r="C143" i="61" l="1"/>
  <c r="L143" i="61" s="1"/>
  <c r="H143" i="61" s="1"/>
  <c r="F144" i="61"/>
  <c r="G143" i="61"/>
  <c r="C145" i="20"/>
  <c r="L145" i="20" s="1"/>
  <c r="H145" i="20" s="1"/>
  <c r="F146" i="20"/>
  <c r="G145" i="20"/>
  <c r="G144" i="60"/>
  <c r="F145" i="60"/>
  <c r="C144" i="60"/>
  <c r="L144" i="60" s="1"/>
  <c r="H144" i="60" s="1"/>
  <c r="F145" i="61" l="1"/>
  <c r="C144" i="61"/>
  <c r="L144" i="61" s="1"/>
  <c r="H144" i="61" s="1"/>
  <c r="G144" i="61"/>
  <c r="G146" i="20"/>
  <c r="F147" i="20"/>
  <c r="C146" i="20"/>
  <c r="L146" i="20" s="1"/>
  <c r="H146" i="20" s="1"/>
  <c r="C145" i="60"/>
  <c r="L145" i="60" s="1"/>
  <c r="H145" i="60" s="1"/>
  <c r="G145" i="60"/>
  <c r="F146" i="60"/>
  <c r="G145" i="61" l="1"/>
  <c r="C145" i="61"/>
  <c r="L145" i="61" s="1"/>
  <c r="H145" i="61" s="1"/>
  <c r="F146" i="61"/>
  <c r="F147" i="60"/>
  <c r="C146" i="60"/>
  <c r="L146" i="60" s="1"/>
  <c r="H146" i="60" s="1"/>
  <c r="G146" i="60"/>
  <c r="C147" i="20"/>
  <c r="L147" i="20" s="1"/>
  <c r="H147" i="20" s="1"/>
  <c r="G147" i="20"/>
  <c r="C146" i="61" l="1"/>
  <c r="L146" i="61" s="1"/>
  <c r="H146" i="61" s="1"/>
  <c r="G146" i="61"/>
  <c r="F147" i="61"/>
  <c r="C147" i="60"/>
  <c r="L147" i="60" s="1"/>
  <c r="H147" i="60" s="1"/>
  <c r="G147" i="60"/>
  <c r="G147" i="61" l="1"/>
  <c r="C147" i="61"/>
  <c r="L147" i="61" s="1"/>
  <c r="H147" i="61" s="1"/>
</calcChain>
</file>

<file path=xl/sharedStrings.xml><?xml version="1.0" encoding="utf-8"?>
<sst xmlns="http://schemas.openxmlformats.org/spreadsheetml/2006/main" count="1764" uniqueCount="704">
  <si>
    <t>Year</t>
  </si>
  <si>
    <t>NL</t>
  </si>
  <si>
    <t>BE</t>
  </si>
  <si>
    <t>Years to retirement</t>
  </si>
  <si>
    <t>EUR</t>
  </si>
  <si>
    <t>Cyprus</t>
  </si>
  <si>
    <t>Spain</t>
  </si>
  <si>
    <t>Ireland</t>
  </si>
  <si>
    <t>Italy</t>
  </si>
  <si>
    <t>Netherlands</t>
  </si>
  <si>
    <t>Portugal</t>
  </si>
  <si>
    <t>Slovakia</t>
  </si>
  <si>
    <t>UK</t>
  </si>
  <si>
    <t>GBP</t>
  </si>
  <si>
    <t>Settings data</t>
  </si>
  <si>
    <t>Country</t>
  </si>
  <si>
    <t>Abbreviation</t>
  </si>
  <si>
    <t>Currency</t>
  </si>
  <si>
    <t>Country Table</t>
  </si>
  <si>
    <t>CY</t>
  </si>
  <si>
    <t>IT</t>
  </si>
  <si>
    <t>ES</t>
  </si>
  <si>
    <t>IE</t>
  </si>
  <si>
    <t>PT</t>
  </si>
  <si>
    <t>SK</t>
  </si>
  <si>
    <t>Participant information</t>
  </si>
  <si>
    <t>IORP name</t>
  </si>
  <si>
    <t>-</t>
  </si>
  <si>
    <t>IORP type</t>
  </si>
  <si>
    <t xml:space="preserve">IORPs providing pure-DC plans </t>
  </si>
  <si>
    <t>Reporting currency used</t>
  </si>
  <si>
    <t>National supervisor</t>
  </si>
  <si>
    <t>Local registration number</t>
  </si>
  <si>
    <t>Contact information</t>
  </si>
  <si>
    <t>Name of contact person 1</t>
  </si>
  <si>
    <t>Name of institution</t>
  </si>
  <si>
    <t>Position / title</t>
  </si>
  <si>
    <t>Phone number</t>
  </si>
  <si>
    <t>E-mail address</t>
  </si>
  <si>
    <t>Name of contact person 2</t>
  </si>
  <si>
    <t>United Kingdom</t>
  </si>
  <si>
    <t>Asset menu specification</t>
  </si>
  <si>
    <t>Asset number</t>
  </si>
  <si>
    <t>Asset name</t>
  </si>
  <si>
    <t>Equities</t>
  </si>
  <si>
    <t>Fixed income</t>
  </si>
  <si>
    <t>Real estate</t>
  </si>
  <si>
    <t>Description</t>
  </si>
  <si>
    <t>Duration</t>
  </si>
  <si>
    <t>Inflation linked</t>
  </si>
  <si>
    <t>Spread type</t>
  </si>
  <si>
    <t>Spread types</t>
  </si>
  <si>
    <t>Asset types</t>
  </si>
  <si>
    <t>Beta Bond</t>
  </si>
  <si>
    <t>Spread</t>
  </si>
  <si>
    <t>Price</t>
  </si>
  <si>
    <t>Representative member</t>
  </si>
  <si>
    <t>Member detail</t>
  </si>
  <si>
    <t>Name</t>
  </si>
  <si>
    <t>Age</t>
  </si>
  <si>
    <t>Year to retirement</t>
  </si>
  <si>
    <t>Carreer wage profiles</t>
  </si>
  <si>
    <t>Wage growth</t>
  </si>
  <si>
    <t>Average wage</t>
  </si>
  <si>
    <t>Version</t>
  </si>
  <si>
    <t>Settings</t>
  </si>
  <si>
    <t>User input</t>
  </si>
  <si>
    <t>Output from formula or fixed value</t>
  </si>
  <si>
    <t>Output from macro</t>
  </si>
  <si>
    <t xml:space="preserve">IORP abbreviation </t>
  </si>
  <si>
    <t>1. Instructions</t>
  </si>
  <si>
    <t>SheetType</t>
  </si>
  <si>
    <t>wtParticipantInfo</t>
  </si>
  <si>
    <t>SheetVersion</t>
  </si>
  <si>
    <t>wtAssetMenuSpec</t>
  </si>
  <si>
    <t>wtMemberInfo</t>
  </si>
  <si>
    <t>Member</t>
  </si>
  <si>
    <t>wtMarketScenario</t>
  </si>
  <si>
    <t>Contribution rate</t>
  </si>
  <si>
    <t>wtSimulation</t>
  </si>
  <si>
    <t>wtLifeExpectancy</t>
  </si>
  <si>
    <t>Sheetnames</t>
  </si>
  <si>
    <t>Asset Menu Return details</t>
  </si>
  <si>
    <t>Career</t>
  </si>
  <si>
    <t>Worksheets Overview</t>
  </si>
  <si>
    <t>List of worksheets</t>
  </si>
  <si>
    <t>Scenario name</t>
  </si>
  <si>
    <t>List of Market Scenario worksheets</t>
  </si>
  <si>
    <t>List of Member Info worksheets</t>
  </si>
  <si>
    <t>First row</t>
  </si>
  <si>
    <t>First column</t>
  </si>
  <si>
    <t>Last row</t>
  </si>
  <si>
    <t>Last column</t>
  </si>
  <si>
    <t>wtCareerProfiles</t>
  </si>
  <si>
    <t>IsVisible</t>
  </si>
  <si>
    <t>wtWorskheetsOverview</t>
  </si>
  <si>
    <t>IsProtected</t>
  </si>
  <si>
    <t>wtAnuityOutcome</t>
  </si>
  <si>
    <t>Life expectancy tables</t>
  </si>
  <si>
    <t>wtReturnDetails</t>
  </si>
  <si>
    <t>wtSettings</t>
  </si>
  <si>
    <t>2. Participating IORP</t>
  </si>
  <si>
    <t>5.1 WealthOutcome</t>
  </si>
  <si>
    <t>5.2 Annuity Outcome</t>
  </si>
  <si>
    <t>$E$5</t>
  </si>
  <si>
    <t>$E$6</t>
  </si>
  <si>
    <t>Base</t>
  </si>
  <si>
    <t>Life Expectancy scenario</t>
  </si>
  <si>
    <t>Market Scenario</t>
  </si>
  <si>
    <t>Including costs</t>
  </si>
  <si>
    <t>Active Simulation settings</t>
  </si>
  <si>
    <t>SimulationName</t>
  </si>
  <si>
    <t>MarketScenario</t>
  </si>
  <si>
    <t>LifeExpScenario</t>
  </si>
  <si>
    <t>IncludingCosts</t>
  </si>
  <si>
    <t>Active simulation</t>
  </si>
  <si>
    <t>Investment costs</t>
  </si>
  <si>
    <t>InvestmentCost</t>
  </si>
  <si>
    <t>Product specifications</t>
  </si>
  <si>
    <t>Costs</t>
  </si>
  <si>
    <t>Percentage of contribution</t>
  </si>
  <si>
    <t>ADMINISTRATIVE COSTS</t>
  </si>
  <si>
    <t>INVESTMENT COSTS</t>
  </si>
  <si>
    <t>Total</t>
  </si>
  <si>
    <t>Contribution factor</t>
  </si>
  <si>
    <t>Member 35y YTR</t>
  </si>
  <si>
    <t>Member 20y YTR</t>
  </si>
  <si>
    <t>Product name</t>
  </si>
  <si>
    <t>4.1. Member 35y YTR</t>
  </si>
  <si>
    <t>4.2. Member 20y YTR</t>
  </si>
  <si>
    <t>4.3. Member 5y YTR</t>
  </si>
  <si>
    <t>Basis scenario Member 35y YTR</t>
  </si>
  <si>
    <t>Basis scenario Member 20y YTR</t>
  </si>
  <si>
    <t>Basis scenario Member 5y YTR</t>
  </si>
  <si>
    <t>wtSimulationsOutput</t>
  </si>
  <si>
    <t>Baseline scenario</t>
  </si>
  <si>
    <t>total account value</t>
  </si>
  <si>
    <t>Gross annual income</t>
  </si>
  <si>
    <t>wtMemberOutcome</t>
  </si>
  <si>
    <t>1. Validate your input</t>
  </si>
  <si>
    <t>3.Check reports</t>
  </si>
  <si>
    <t>Report for Member 35y YTR</t>
  </si>
  <si>
    <t>Steps:</t>
  </si>
  <si>
    <t>1. Read these instructions</t>
  </si>
  <si>
    <t>3.1. Product specifications</t>
  </si>
  <si>
    <t>3.2. Asset menu</t>
  </si>
  <si>
    <t>Valid Input</t>
  </si>
  <si>
    <t>Asset name &amp; number:</t>
  </si>
  <si>
    <t>Current pension wealth</t>
  </si>
  <si>
    <t>value</t>
  </si>
  <si>
    <t>Profile name (optional)</t>
  </si>
  <si>
    <t>Floor</t>
  </si>
  <si>
    <t>custom value</t>
  </si>
  <si>
    <t>Pensionable income</t>
  </si>
  <si>
    <t>Cap</t>
  </si>
  <si>
    <t>IsFloor</t>
  </si>
  <si>
    <t>IsCap</t>
  </si>
  <si>
    <t>Explanation</t>
  </si>
  <si>
    <t>Austria</t>
  </si>
  <si>
    <t>AT</t>
  </si>
  <si>
    <t>wtDevelopment</t>
  </si>
  <si>
    <t>Todo</t>
  </si>
  <si>
    <t>1. add all life tables</t>
  </si>
  <si>
    <t>2. scenarios for GBP</t>
  </si>
  <si>
    <t>4. Calculate compensating contributions or postponement of retirement</t>
  </si>
  <si>
    <t>5. Add questionnaire</t>
  </si>
  <si>
    <t>$B$24</t>
  </si>
  <si>
    <t>$B$25</t>
  </si>
  <si>
    <t>Asset weights add to 100%</t>
  </si>
  <si>
    <t>Floor level does not exceed cap level</t>
  </si>
  <si>
    <t>ValidateAssetWeights</t>
  </si>
  <si>
    <t>ValidateCapFloor</t>
  </si>
  <si>
    <t>Validation of user input</t>
  </si>
  <si>
    <t>ValidateTotal</t>
  </si>
  <si>
    <t>Member 5y YTR</t>
  </si>
  <si>
    <t>LifeExpCyprusBase</t>
  </si>
  <si>
    <t>LifeExpSpainBase</t>
  </si>
  <si>
    <t>LifeExpIrelandBase</t>
  </si>
  <si>
    <t>LifeExpItalyBase</t>
  </si>
  <si>
    <t>LifeExpNetherlandsBase</t>
  </si>
  <si>
    <t>LifeExpPortugalBase</t>
  </si>
  <si>
    <t>LifeExpSlovakiaBase</t>
  </si>
  <si>
    <t>LifeExpAustriaBase</t>
  </si>
  <si>
    <t>3. Improve asset menu</t>
  </si>
  <si>
    <t>7. Add reports for other members</t>
  </si>
  <si>
    <t>Inflation Linked</t>
  </si>
  <si>
    <t>IsEditing</t>
  </si>
  <si>
    <t>No</t>
  </si>
  <si>
    <t>Control</t>
  </si>
  <si>
    <t>Asset specification</t>
  </si>
  <si>
    <t>V</t>
  </si>
  <si>
    <t>wtInstruction</t>
  </si>
  <si>
    <t>wtProductSpecs</t>
  </si>
  <si>
    <t>wtBuildReport</t>
  </si>
  <si>
    <t>Baseline</t>
  </si>
  <si>
    <t>Sheetname</t>
  </si>
  <si>
    <t>ScenarioName</t>
  </si>
  <si>
    <t>Development</t>
  </si>
  <si>
    <t>5. Simulation summary</t>
  </si>
  <si>
    <t>$G$5</t>
  </si>
  <si>
    <t>$G$12:$G$112</t>
  </si>
  <si>
    <t>$F$12:$F$112</t>
  </si>
  <si>
    <t>$I$12:$I$112</t>
  </si>
  <si>
    <t>$D$12:$D$112</t>
  </si>
  <si>
    <t>Life expectancy scenario mapping table</t>
  </si>
  <si>
    <t>Life Expectancy scenario sheet</t>
  </si>
  <si>
    <t>Worksheet tables</t>
  </si>
  <si>
    <t>Market scenario sheet</t>
  </si>
  <si>
    <t>ActiveMarketScenarioNo</t>
  </si>
  <si>
    <t>ActiveLifeExpScenarioNo</t>
  </si>
  <si>
    <t>Benchmark simulation</t>
  </si>
  <si>
    <t>Simulation specification</t>
  </si>
  <si>
    <t>8. Set option to select pay-out option</t>
  </si>
  <si>
    <t>9. Check all pay-out options</t>
  </si>
  <si>
    <t>6.1 Simulation outcome tables</t>
  </si>
  <si>
    <t>Ref::ScenarioName</t>
  </si>
  <si>
    <t>Ref::Spreads</t>
  </si>
  <si>
    <t>Ref::SpreadNames</t>
  </si>
  <si>
    <t>Ref::Years</t>
  </si>
  <si>
    <t>Val::ScenarioName</t>
  </si>
  <si>
    <t>Ref::MemberName</t>
  </si>
  <si>
    <t>Ref::CurrentYearsToRetirement</t>
  </si>
  <si>
    <t>Ref::Age</t>
  </si>
  <si>
    <t>Ref::Pension_age</t>
  </si>
  <si>
    <t>Ref::Wage</t>
  </si>
  <si>
    <t>Ref::IsFloorPensionBase</t>
  </si>
  <si>
    <t>Ref::IsCapPensionBase</t>
  </si>
  <si>
    <t>Ref::LevelFloorPensionBase</t>
  </si>
  <si>
    <t>Ref::LevelCapPensionBase</t>
  </si>
  <si>
    <t>Ref::Initial_pension_wealth</t>
  </si>
  <si>
    <t>Ref::Contribution_rate</t>
  </si>
  <si>
    <t>Ref::CareerWageGrowth</t>
  </si>
  <si>
    <t>Ref::Years_to_retirement</t>
  </si>
  <si>
    <t>Ref::LifeExpCountryAbbrev</t>
  </si>
  <si>
    <t>Ref::LifeExpScenario_name</t>
  </si>
  <si>
    <t>Ref::LifeExpAges</t>
  </si>
  <si>
    <t>Ref::LifeExpYears</t>
  </si>
  <si>
    <t>Ref::LifeExp</t>
  </si>
  <si>
    <t>Ref::SurvivalCurve</t>
  </si>
  <si>
    <t>Val::LifeExpCountryAbbrev</t>
  </si>
  <si>
    <t>Val::LifeExpScenario_name</t>
  </si>
  <si>
    <t>10. Update spread types</t>
  </si>
  <si>
    <t>11. Check holding period returns for credits</t>
  </si>
  <si>
    <t>ActiveMemberNo</t>
  </si>
  <si>
    <t>Pension age adjustment</t>
  </si>
  <si>
    <t>6. Add career profile data for Austria and update all</t>
  </si>
  <si>
    <t>12. Summary life cycle table plus graph</t>
  </si>
  <si>
    <t>LifeExpUnited KingdomBase</t>
  </si>
  <si>
    <t>v</t>
  </si>
  <si>
    <t>13 Create Market scenario set</t>
  </si>
  <si>
    <t>Pay-out product</t>
  </si>
  <si>
    <t>Pay-out option</t>
  </si>
  <si>
    <t>Payout options</t>
  </si>
  <si>
    <t>Lump sum</t>
  </si>
  <si>
    <t>Nominal annuity</t>
  </si>
  <si>
    <t>Programmed drawdown</t>
  </si>
  <si>
    <t>What pay-out product/solution does the plan target? Choose the option that is most representative for DC plan</t>
  </si>
  <si>
    <t>Equities US</t>
  </si>
  <si>
    <t>Commodities</t>
  </si>
  <si>
    <t>Private Equity</t>
  </si>
  <si>
    <t>Hedge Funds</t>
  </si>
  <si>
    <t>USD</t>
  </si>
  <si>
    <t>Equities Emerging Markets</t>
  </si>
  <si>
    <t>Asset class</t>
  </si>
  <si>
    <t>Alternatives</t>
  </si>
  <si>
    <t>Real Estate</t>
  </si>
  <si>
    <t>Cash and Deposits</t>
  </si>
  <si>
    <t>Beta Equities US</t>
  </si>
  <si>
    <t>Beta Commodities</t>
  </si>
  <si>
    <t>Beta Private Equity</t>
  </si>
  <si>
    <t>Beta Hedge Funds</t>
  </si>
  <si>
    <t>Ref::ReturnIndexNames</t>
  </si>
  <si>
    <t>Ref::ReturnIndexes</t>
  </si>
  <si>
    <t>Ref::FundamentalSpreads</t>
  </si>
  <si>
    <t>Beta Equity US</t>
  </si>
  <si>
    <t>Equity exposure programmed withdrawal</t>
  </si>
  <si>
    <t>Ref::EquityPremiumAssumption</t>
  </si>
  <si>
    <t>Asset Type Definitions Table</t>
  </si>
  <si>
    <t>SimulationNo</t>
  </si>
  <si>
    <t>Val::Pension_wealth</t>
  </si>
  <si>
    <t>Val::Final_wage</t>
  </si>
  <si>
    <t>Val::PensionIncNomDD</t>
  </si>
  <si>
    <t>Val::PensionIncNomAnnuity</t>
  </si>
  <si>
    <t>Val::PensionIncRealAnnuity</t>
  </si>
  <si>
    <t>Val::RepRateNomDD</t>
  </si>
  <si>
    <t>Val::RepRateNomAnnuity</t>
  </si>
  <si>
    <t>Val::RepRateRealAnnuity</t>
  </si>
  <si>
    <t>Contr::Pension_wealth</t>
  </si>
  <si>
    <t>Contr::Final_wage</t>
  </si>
  <si>
    <t>Contr::PensionIncNomDD</t>
  </si>
  <si>
    <t>Contr::PensionIncNomAnnuity</t>
  </si>
  <si>
    <t>Contr::PensionIncRealAnnuity</t>
  </si>
  <si>
    <t>Contr::RepRateNomDD</t>
  </si>
  <si>
    <t>Contr::RepRateNomAnnuity</t>
  </si>
  <si>
    <t>Contr::RepRateRealAnnuity</t>
  </si>
  <si>
    <t>PA::Pension_wealth</t>
  </si>
  <si>
    <t>PA::Final_wage</t>
  </si>
  <si>
    <t>PA::PensionIncNomDD</t>
  </si>
  <si>
    <t>PA::PensionIncNomAnnuity</t>
  </si>
  <si>
    <t>PA::PensionIncRealAnnuity</t>
  </si>
  <si>
    <t>PA::RepRateNomDD</t>
  </si>
  <si>
    <t>PA::RepRateNomAnnuity</t>
  </si>
  <si>
    <t>PA::RepRateRealAnnuity</t>
  </si>
  <si>
    <t>ContrExit::Pension_wealth</t>
  </si>
  <si>
    <t>ContrExit::Final_wage</t>
  </si>
  <si>
    <t>ContrExit::PensionIncNomDD</t>
  </si>
  <si>
    <t>ContrExit::PensionIncNomAnnuity</t>
  </si>
  <si>
    <t>ContrExit::PensionIncRealAnnuity</t>
  </si>
  <si>
    <t>ContrExit::RepRateNomDD</t>
  </si>
  <si>
    <t>ContrExit::RepRateNomAnnuity</t>
  </si>
  <si>
    <t>ContrExit::RepRateRealAnnuity</t>
  </si>
  <si>
    <t>PAExit::Pension_wealth</t>
  </si>
  <si>
    <t>PAExit::Final_wage</t>
  </si>
  <si>
    <t>PAExit::PensionIncNomDD</t>
  </si>
  <si>
    <t>PAExit::PensionIncNomAnnuity</t>
  </si>
  <si>
    <t>PAExit::PensionIncRealAnnuity</t>
  </si>
  <si>
    <t>PAExit::RepRateNomDD</t>
  </si>
  <si>
    <t>PAExit::RepRateNomAnnuity</t>
  </si>
  <si>
    <t>PAExit::RepRateRealAnnuity</t>
  </si>
  <si>
    <t>Ref::FXNames</t>
  </si>
  <si>
    <t>Ref::FXRates</t>
  </si>
  <si>
    <t>Ref::NomCurvesEUR</t>
  </si>
  <si>
    <t>Ref::InflationCurvesEUR</t>
  </si>
  <si>
    <t>Ref::NomCurvesGBP</t>
  </si>
  <si>
    <t>Ref::InflationCurvesGBP</t>
  </si>
  <si>
    <t>Ref::NomCurvesUSD</t>
  </si>
  <si>
    <t>Ref::InflationCurvesUSD</t>
  </si>
  <si>
    <t>7.1 Report Member 35y YTR</t>
  </si>
  <si>
    <t>7.2 Report Member 20y YTR</t>
  </si>
  <si>
    <t>7.3 Report Member 5y YTR</t>
  </si>
  <si>
    <t>Ref::Price_inflation_EUR</t>
  </si>
  <si>
    <t>Ref::Wage_inflation_EUR</t>
  </si>
  <si>
    <t>Ref::Price_inflation_GBP</t>
  </si>
  <si>
    <t>Ref::Wage_inflation_GBP</t>
  </si>
  <si>
    <t>$H$12:$H$112</t>
  </si>
  <si>
    <t>Baseline Scenario</t>
  </si>
  <si>
    <t>Simulation mapping table</t>
  </si>
  <si>
    <t>Market scenarios</t>
  </si>
  <si>
    <t>Get all initial curves right</t>
  </si>
  <si>
    <t>Get a inflation curve for USD</t>
  </si>
  <si>
    <t>14 Fix contribution solve and pension age solve</t>
  </si>
  <si>
    <t>Asset Menu</t>
  </si>
  <si>
    <t>IsEquities</t>
  </si>
  <si>
    <t>IsRealEstate</t>
  </si>
  <si>
    <t>IsAlternatives</t>
  </si>
  <si>
    <t>IsFixedIncome</t>
  </si>
  <si>
    <t>YTR</t>
  </si>
  <si>
    <t>Report for Member 20y YTR</t>
  </si>
  <si>
    <t>Report for Member 5y YTR</t>
  </si>
  <si>
    <t>Reference</t>
  </si>
  <si>
    <t>Sheet</t>
  </si>
  <si>
    <t>Userform copy table</t>
  </si>
  <si>
    <t>The style and background colour of a cell indicates its use:</t>
  </si>
  <si>
    <t>Inflation-linked annuity</t>
  </si>
  <si>
    <t>This worksheet covers the expenses of the plan and types of payout.</t>
  </si>
  <si>
    <t>Current salary</t>
  </si>
  <si>
    <t>Retirement age</t>
  </si>
  <si>
    <t>Career salary growth</t>
  </si>
  <si>
    <t>Return threshold</t>
  </si>
  <si>
    <t>Fixed annual cost</t>
  </si>
  <si>
    <t>Annual percentage of total asset value</t>
  </si>
  <si>
    <t>Percentage of final pension wealth</t>
  </si>
  <si>
    <t>Final salary</t>
  </si>
  <si>
    <t>difference from baseline (%)</t>
  </si>
  <si>
    <t>difference from baseline (% extra contributions)</t>
  </si>
  <si>
    <t>difference from baseline (extra months to postpone retirement)</t>
  </si>
  <si>
    <t>difference from baseline</t>
  </si>
  <si>
    <t>Pension income</t>
  </si>
  <si>
    <t>Pension wealth at retirement: lump sum</t>
  </si>
  <si>
    <t>Replacement rates</t>
  </si>
  <si>
    <t>replacement rate</t>
  </si>
  <si>
    <t>gross annual pension income at retirement date</t>
  </si>
  <si>
    <t>difference from baseline (in % points)</t>
  </si>
  <si>
    <t>Real Estate EU</t>
  </si>
  <si>
    <t>Government Bond EU</t>
  </si>
  <si>
    <t>Ref::NomCurvesISK</t>
  </si>
  <si>
    <t>Ref::InflationCurvesISK</t>
  </si>
  <si>
    <t>ISK</t>
  </si>
  <si>
    <t>Iceland</t>
  </si>
  <si>
    <t>IS</t>
  </si>
  <si>
    <t>15. Fix iceland career stub</t>
  </si>
  <si>
    <t>16. Fix iceland lifetable stub</t>
  </si>
  <si>
    <t>LifeExpIcelandBase</t>
  </si>
  <si>
    <t>$R$5</t>
  </si>
  <si>
    <t>Ref::Price_inflation_ISK</t>
  </si>
  <si>
    <t>Ref::Wage_inflation_ISK</t>
  </si>
  <si>
    <t>$J$12:$J$112</t>
  </si>
  <si>
    <t>$K$12:$K$112</t>
  </si>
  <si>
    <t>Projected real salary</t>
  </si>
  <si>
    <t>Projection real wage growth</t>
  </si>
  <si>
    <t>I12,I13,I14,I15,I17,I18,I19,I21,I22,I29</t>
  </si>
  <si>
    <t>Spreadsheet calculation tool</t>
  </si>
  <si>
    <t>1. Introduction</t>
  </si>
  <si>
    <t>2. Instructions</t>
  </si>
  <si>
    <t>Complete the exercise</t>
  </si>
  <si>
    <t>4. Submit</t>
  </si>
  <si>
    <t>wtCompleteExercise</t>
  </si>
  <si>
    <t>DCStressWorkbookType</t>
  </si>
  <si>
    <t>DCStressWorkbookVersion</t>
  </si>
  <si>
    <t>17. Fix asset setup of new assets(bold in aset type table)</t>
  </si>
  <si>
    <t>Val::Life_expectancy_from_retirement</t>
  </si>
  <si>
    <t>Expected remaining life time at retirement date</t>
  </si>
  <si>
    <t>Corporate Bond</t>
  </si>
  <si>
    <t>Beta Equity EU</t>
  </si>
  <si>
    <t>Asset category</t>
  </si>
  <si>
    <t>Beta Real Estate EU</t>
  </si>
  <si>
    <t>Questionnaire</t>
  </si>
  <si>
    <t>wtQuestionnaire</t>
  </si>
  <si>
    <t>Active members</t>
  </si>
  <si>
    <t>Deferred members</t>
  </si>
  <si>
    <t>Retired persons</t>
  </si>
  <si>
    <t>Does the IORP provide for retirement income (other than a lump sum payment at retirement) during the decumulation phase or do plan members have to approach a different provider?</t>
  </si>
  <si>
    <t>Choose provider</t>
  </si>
  <si>
    <t>If plan members are typically expected to convert accumulated assets into an annuity, please indicate the typical type of annuity. Mark if apropriate, multiple answers possible.</t>
  </si>
  <si>
    <t>Temporary annuity</t>
  </si>
  <si>
    <t>Life annuity</t>
  </si>
  <si>
    <t xml:space="preserve">Nominal annuity </t>
  </si>
  <si>
    <t>Variable annuity</t>
  </si>
  <si>
    <t>Choose yes or no</t>
  </si>
  <si>
    <t>Comments</t>
  </si>
  <si>
    <t>0 up to 5 years</t>
  </si>
  <si>
    <t>5 up to 10 years</t>
  </si>
  <si>
    <t>10 up to 15 years</t>
  </si>
  <si>
    <t>15 up to 20 years</t>
  </si>
  <si>
    <t>20 up to 25 years</t>
  </si>
  <si>
    <t>25 up to 30 years</t>
  </si>
  <si>
    <t>30 up to 35 years</t>
  </si>
  <si>
    <t>35 years and longer</t>
  </si>
  <si>
    <t>1. Make reports</t>
  </si>
  <si>
    <t>5. Questionnaire</t>
  </si>
  <si>
    <t>Years to standard retirement age</t>
  </si>
  <si>
    <t xml:space="preserve">Are there any (legal, fiscal or other) constraints to the type of pay-out method in the decumulation phase? </t>
  </si>
  <si>
    <t xml:space="preserve">Which pay-out method are plan members typically expected to use in the DC plan? </t>
  </si>
  <si>
    <t>Please briefly describe</t>
  </si>
  <si>
    <t>IsDeleted</t>
  </si>
  <si>
    <t>NumberOfAssets</t>
  </si>
  <si>
    <t>IsCalculationTool</t>
  </si>
  <si>
    <t>Basis scenario Member 35y YTR No cost</t>
  </si>
  <si>
    <t>Basis scenario Member 20y YTR No cost</t>
  </si>
  <si>
    <t>Basis scenario Member 5y YTR No cost</t>
  </si>
  <si>
    <t>Is Equities US</t>
  </si>
  <si>
    <t>Is Equities Emerging Markets</t>
  </si>
  <si>
    <t>Is Commodities</t>
  </si>
  <si>
    <t>Is Private Equity</t>
  </si>
  <si>
    <t>Is Hedge Funds</t>
  </si>
  <si>
    <t>Is Real Estate EU</t>
  </si>
  <si>
    <t>Is Cash and Deposits</t>
  </si>
  <si>
    <t>Asset mix over life cycle per asset category</t>
  </si>
  <si>
    <t>Asset mix over life cycle per asset class</t>
  </si>
  <si>
    <t>Baseline without costs</t>
  </si>
  <si>
    <t>Baseline NC</t>
  </si>
  <si>
    <t>Max no of assets</t>
  </si>
  <si>
    <t>6. Complete the exercise</t>
  </si>
  <si>
    <t>3. Workflow for the IORP</t>
  </si>
  <si>
    <t>4. Conventions</t>
  </si>
  <si>
    <t>NOTE: The minimum requirement to run this tool is Excel 2010.</t>
  </si>
  <si>
    <t>4. Version history</t>
  </si>
  <si>
    <t>27-05-2015</t>
  </si>
  <si>
    <t>17-06-2015</t>
  </si>
  <si>
    <t>15-07-2015</t>
  </si>
  <si>
    <t>Minor changes to improve robustness of asset menu</t>
  </si>
  <si>
    <t>Replace fixed age in cell I14 by automatic calculation</t>
  </si>
  <si>
    <t xml:space="preserve">Allow for negative custom values for career salary growth in 4.1, 4.2 and 4.3 </t>
  </si>
  <si>
    <t>Insert fomula 'inflation linked' (true or false) in cells K36-K51 of 3.2 Asset menu</t>
  </si>
  <si>
    <t>Define range names ReportYTR and ReportAssetWeights in 7.3 for proper display</t>
  </si>
  <si>
    <t>of table with asset mix over life-cycle</t>
  </si>
  <si>
    <t>Fix issue that newly defined asset classes are not properly taken into account in</t>
  </si>
  <si>
    <t>calculation tool:</t>
  </si>
  <si>
    <t xml:space="preserve">- Adjust settings in Settings sheet (Userform copy table) in order for  asset number in </t>
  </si>
  <si>
    <t>tblAssetMenuSpecs in 3.2 to be copied to calculation tool</t>
  </si>
  <si>
    <t>- Extend formulas in tblAssetMenuSpecs in 3.2 (AA31..AA35, AE31..AQ51, AW31..AZ51)</t>
  </si>
  <si>
    <t>Extend range of 7.2 Report Member 20y YTR</t>
  </si>
  <si>
    <t>Change year label in cell D40 to 2014 in 4.1, 4.2 and 4.3</t>
  </si>
  <si>
    <t>Set inflation Iceland to 2.5% instead of 2%</t>
  </si>
  <si>
    <t>Fix issue that custom career salary growth does not impact on outcomes by</t>
  </si>
  <si>
    <t>replacing formula in cells G15..G115 in 5.1 WealthOutcome sheet</t>
  </si>
  <si>
    <t>Fix simulation issue  Iceland</t>
  </si>
  <si>
    <t xml:space="preserve">Optimise calculation final wealth in 5.1 (calculated at years to retirement = 0) based </t>
  </si>
  <si>
    <t>on returns using asset allocations t-1 as well as annuity outcomes in 5.2 (starting</t>
  </si>
  <si>
    <t>at years to retirement = 0)</t>
  </si>
  <si>
    <t>Fix error in cell K29 of 7.1, 7.2 and 7.3 to display annuity instead of drawdown</t>
  </si>
  <si>
    <t>22-07-2015</t>
  </si>
  <si>
    <t>Fix formula for 'FX rate / EUR' in [Asset Menu Return details] sheet (columns</t>
  </si>
  <si>
    <t>AF, AT, BH et cetera) to convert bond returns into EUR returns. The old formula</t>
  </si>
  <si>
    <t xml:space="preserve">resulted in bond returns equal to EUR risk-free + spread for IS and UK instead </t>
  </si>
  <si>
    <t>of respectively ISK risk-free + spread and GBP risk-free + spread.</t>
  </si>
  <si>
    <t>Improve formula for 'BondReturn (in EUR) in [Asset Menu Return details] sheet</t>
  </si>
  <si>
    <t>(columns AH, AV, BJ et cetera) by subtracting fundamental spread current year</t>
  </si>
  <si>
    <t xml:space="preserve">instead of previous year. This impacts on bond returns in 2015 in shock scenarios </t>
  </si>
  <si>
    <t>1 and 2</t>
  </si>
  <si>
    <t>sheet (columns X, AL, AZ et cetera). The old formula did not properly match the</t>
  </si>
  <si>
    <t>currency number of IS assets.</t>
  </si>
  <si>
    <t>Include match_type=0 in match function in row 1 of [Asset Menu Return details]</t>
  </si>
  <si>
    <t>Amend formulas for NomRate and BEIRate in [Asset Menu Return details] sheet</t>
  </si>
  <si>
    <t>(columns X, Y, AL, AD for asset 1, et cetera) by including ISK curves as fourth argument</t>
  </si>
  <si>
    <t>in choose function</t>
  </si>
  <si>
    <t>Updated scenario sheets [Baseline Scenario], [Shock 1 Scenario], [Shock 2 Scenario],</t>
  </si>
  <si>
    <t>[Long-run 1 Scenario], [Long-run 2 Scenario]:</t>
  </si>
  <si>
    <t>- Replaced ISK forward exchange rates, which inadvertently were based on interest</t>
  </si>
  <si>
    <t xml:space="preserve">rate differential EUR-USD. As a result, index returns on IS assets in all scenarios were </t>
  </si>
  <si>
    <t>based on USD interest rate curve instead of ISK interest rate curve.</t>
  </si>
  <si>
    <t>- Replaced bond spreads/fundamental spreads in Shock 1 and 2 Scenarios which were</t>
  </si>
  <si>
    <t>implemented as temporary shocks instead of permanent.</t>
  </si>
  <si>
    <t xml:space="preserve">- Replaced inflation, index returns and exchange rates for 2015 by basing them on </t>
  </si>
  <si>
    <t>post-stress instead of pre-stress interest rate and inflation curves.</t>
  </si>
  <si>
    <t>- Replaced risk premium for EU equities in Long-run Scenario 2 by 2% (was 3%).</t>
  </si>
  <si>
    <t>- Replaced risk premium for programmed drawdown by respectively 1.5% and 2%</t>
  </si>
  <si>
    <t>(was 3%) in Long-run Scenario 1 &amp; 2.</t>
  </si>
  <si>
    <t>10-11-2015</t>
  </si>
  <si>
    <t>Fix formula to calculate bond prices in [Asset Menu Return details] sheet ("Bond price"</t>
  </si>
  <si>
    <t xml:space="preserve"> in columns AB, AP, BD et cetera and "Price" in columns AE, AS, BG et cetera). The old</t>
  </si>
  <si>
    <t>formula did not result in the right prices for inflation-linked zero-coupon bonds. As a</t>
  </si>
  <si>
    <t>result, returns on inflation-linked bonds were not equal to the returns on nominal bonds.</t>
  </si>
  <si>
    <t>The fix has no impact on the returns on nominal bonds.</t>
  </si>
  <si>
    <t>Greece</t>
  </si>
  <si>
    <t>GR</t>
  </si>
  <si>
    <t>$E$11:$DA$11</t>
  </si>
  <si>
    <t>$E$12:$DA$112</t>
  </si>
  <si>
    <t>$DD$12:$HA$112</t>
  </si>
  <si>
    <t>CHF</t>
  </si>
  <si>
    <t>LifeExpGreeceBase</t>
  </si>
  <si>
    <t>LI</t>
  </si>
  <si>
    <t>Liechtenstein</t>
  </si>
  <si>
    <t>6. Complete exercise</t>
  </si>
  <si>
    <t>wtSimulationOutcomeTable</t>
  </si>
  <si>
    <t>LifeExpLiechtensteinBase</t>
  </si>
  <si>
    <t>Adverse</t>
  </si>
  <si>
    <t>Adverse Scenario</t>
  </si>
  <si>
    <t>Adverse scenario Member 35y YTR</t>
  </si>
  <si>
    <t>Adverse scenario Member 5y YTR</t>
  </si>
  <si>
    <t>Adverse scenario Member 20y YTR</t>
  </si>
  <si>
    <t>Corporate Bond Non-Financial</t>
  </si>
  <si>
    <t>Corporate Bond Financial</t>
  </si>
  <si>
    <t>Real Estate Commercial EU (non-leveraged)</t>
  </si>
  <si>
    <t>Real Estate Residential EU (non-leveraged)</t>
  </si>
  <si>
    <t>Ref::NomCurvesCHF</t>
  </si>
  <si>
    <t>Ref::InflationCurvesCHF</t>
  </si>
  <si>
    <t>Ref::Price_inflation_CHF</t>
  </si>
  <si>
    <t>Ref::Wage_inflation_CHF</t>
  </si>
  <si>
    <t>$L$12:$L$112</t>
  </si>
  <si>
    <t>$M$12:$M$112</t>
  </si>
  <si>
    <t>Equities EU</t>
  </si>
  <si>
    <t>Is Real Estate Commercial EU (non-leveraged)</t>
  </si>
  <si>
    <t>Is Real Estate Residential EU (non-leveraged)</t>
  </si>
  <si>
    <t>Adverse scenario</t>
  </si>
  <si>
    <t>Is Corporate Bond Non-Financial</t>
  </si>
  <si>
    <t>Is Corporate Bond Financial</t>
  </si>
  <si>
    <t>ASSET MIX ADVERSE SCENARIO</t>
  </si>
  <si>
    <t>ASSET MIX BASELINE SCENARIO</t>
  </si>
  <si>
    <t>Val Wghts Baseline:</t>
  </si>
  <si>
    <t>Val Wghts Adverse:</t>
  </si>
  <si>
    <t>Inflation index floor/cap</t>
  </si>
  <si>
    <t>- -&gt;</t>
  </si>
  <si>
    <t>- equity risk</t>
  </si>
  <si>
    <t>- interest rate risk</t>
  </si>
  <si>
    <t>- spread risk</t>
  </si>
  <si>
    <t>Potential risk exposures current pension wealth</t>
  </si>
  <si>
    <t>- inflation risk</t>
  </si>
  <si>
    <t>$J$11</t>
  </si>
  <si>
    <t>$J$12</t>
  </si>
  <si>
    <t>$J$14</t>
  </si>
  <si>
    <t>$J$13</t>
  </si>
  <si>
    <t>$J$19</t>
  </si>
  <si>
    <t>$J$24</t>
  </si>
  <si>
    <t>$J$25</t>
  </si>
  <si>
    <t>$J$21</t>
  </si>
  <si>
    <t>$G$47:$G$147</t>
  </si>
  <si>
    <t>$Q$47:$AJ$147</t>
  </si>
  <si>
    <t>$J$47:$J$147</t>
  </si>
  <si>
    <t>Ref::AssetWeightsBaseline</t>
  </si>
  <si>
    <t>Ref::AssetWeightsAdverse</t>
  </si>
  <si>
    <t>$AL$47:$BE$147</t>
  </si>
  <si>
    <t>Ref::Total_hedge_effect</t>
  </si>
  <si>
    <t>ActiveMarketScenarioName</t>
  </si>
  <si>
    <t>Ref::Inflation_Index_Floor</t>
  </si>
  <si>
    <t>Ref::Inflation_Index_Cap</t>
  </si>
  <si>
    <t>$L$24</t>
  </si>
  <si>
    <t>$L$25</t>
  </si>
  <si>
    <t>Net hedging effects adverse scenario</t>
  </si>
  <si>
    <t>35y member</t>
  </si>
  <si>
    <t>20y member</t>
  </si>
  <si>
    <t>5y member</t>
  </si>
  <si>
    <t>Check</t>
  </si>
  <si>
    <t>Pre-defined rules</t>
  </si>
  <si>
    <t>Discretionary</t>
  </si>
  <si>
    <t>Combination of above</t>
  </si>
  <si>
    <t xml:space="preserve">Did you provide a separate asset allocation over the life-cycle of the representative plan members in the adverse market scenario, i.e. overriding the default asset mix relating to the baseline scenario (mark X if appropriate) </t>
  </si>
  <si>
    <t>Based on the individual member templates you provided the following net effects of the instantaneous impact of the adverse market scenario on the value of derivative instruments in the representative members' portfolio to hedge against equity, interest rate, credit spread and/or inflation risk.</t>
  </si>
  <si>
    <t>equity risk</t>
  </si>
  <si>
    <t>interest rate risk</t>
  </si>
  <si>
    <t>spread risk</t>
  </si>
  <si>
    <t>inflation risk</t>
  </si>
  <si>
    <t>Total_hedge_effect</t>
  </si>
  <si>
    <t>$B$32</t>
  </si>
  <si>
    <t>Please explain and specify the derivative instruments used to hedge equity risk</t>
  </si>
  <si>
    <t>Please explain and specify the derivative instruments used to hedge interest rate risk</t>
  </si>
  <si>
    <t>Please explain and specify the derivative instruments used to hedge spread risk</t>
  </si>
  <si>
    <t>Please explain and specify the derivative instruments used to hedge inflation risk</t>
  </si>
  <si>
    <t>DC module</t>
  </si>
  <si>
    <t>3. Run the exercise</t>
  </si>
  <si>
    <t>J11:J14,J16,J17,J19,J21,J24,J25,B24,B25,L24,L25,L28,L29,L30,L31,J47:J147,M47:M147,Q47:AJ147,AL47:BE147</t>
  </si>
  <si>
    <t>$M$47:$M$147</t>
  </si>
  <si>
    <t>Percentage of gross annual excess return</t>
  </si>
  <si>
    <t>Participant ID (= Unique code set by NSA, 6 digits, see comment)</t>
  </si>
  <si>
    <t>Country of authorisation</t>
  </si>
  <si>
    <t>E10:G10,E11:G11,E13:G13,E16:G16,E17:G17,E18:G18,E23:G23,E24:G24,E25:G25,E26:G26,E27:G27,E29:G29,E30:G30,E31:G31,E32:G32,E33:G33</t>
  </si>
  <si>
    <t>Country code</t>
  </si>
  <si>
    <t>ValidateCountry</t>
  </si>
  <si>
    <t>ValidateParticipantID</t>
  </si>
  <si>
    <t>ValidateParticipantInfo</t>
  </si>
  <si>
    <t>Total number of members</t>
  </si>
  <si>
    <t>Section 3 - IORP's membership and corresponding assets</t>
  </si>
  <si>
    <t>Members and beneficiaries
(number of persons in units)</t>
  </si>
  <si>
    <t>Assets
(reporting currency and unit)</t>
  </si>
  <si>
    <t>Number of persons
(in units)
(reporting currency and unit)</t>
  </si>
  <si>
    <t>Section 4 - Decumulation phase</t>
  </si>
  <si>
    <t>Annuity</t>
  </si>
  <si>
    <t>Income drawdown</t>
  </si>
  <si>
    <t>Income drawdown + annuity</t>
  </si>
  <si>
    <t>Lump sum + annuity</t>
  </si>
  <si>
    <t>Lump sum + income drawdown</t>
  </si>
  <si>
    <t>Other pay-out method</t>
  </si>
  <si>
    <t>If plan members are typically expected to use an "other pay-out method", please explain</t>
  </si>
  <si>
    <t>Deferred annuity</t>
  </si>
  <si>
    <t>Are members allowed the flexibility to decide on the year of starting to receive their pension benefits in de DC IORP?</t>
  </si>
  <si>
    <t>Section 5 - Derivative hedging and dynamic asset allocation strategies</t>
  </si>
  <si>
    <t>A. Derivative hedging instruments in input template for second round effects on retirement income of three representative plan members</t>
  </si>
  <si>
    <t>You indicated that you took into account the instantaneous effect on the value of derivative instruments to hedge against equity, interest rate, spread and/or inflation risk. Please explain the aim of the derivative hedging strategy (e.g. to protect the value of the assets, certain level of retirement income or replacement rate) and specify the derivative instrument(s) used distinguishing, if applicable, between the three representative plan members. Please indicate also how you calculated the net effects as provided.</t>
  </si>
  <si>
    <t>No use is made of derivative instruments.</t>
  </si>
  <si>
    <t>Please indicate how you calculated the net effect as provided above</t>
  </si>
  <si>
    <t>B. Dynamic asset allocation strategies in input template for second round effects on retirement income of three representative plan members</t>
  </si>
  <si>
    <t xml:space="preserve">You responded in question 14 that you provided a separate asset allocation in the adverse market scenario. Please indicate whether the adjustment is based on pre-defined rules (i.e. determined by change in financial market conditions), discretionary or a combination of both (mark X if appropriate) </t>
  </si>
  <si>
    <t>Explain aim and nature of adjustement asset allocation</t>
  </si>
  <si>
    <t>You responded in question 14 that you provided a separate asset allocation in the adverse market scenario. Please briefly explain the aim and nature of the indicated adjustments distinguishing, if applicable, between the three representative plan members.</t>
  </si>
  <si>
    <t>Filename-ID for submission to EIOPA (automatically added when file is saved)</t>
  </si>
  <si>
    <t>2. Save this input template using the button below</t>
  </si>
  <si>
    <t>2. General advise on use of the template</t>
  </si>
  <si>
    <t>2. Complete worksheet "2. Participating IORP"</t>
  </si>
  <si>
    <t>3. Complete the details about the DC product</t>
  </si>
  <si>
    <t>4. Complete the details about the member profiles</t>
  </si>
  <si>
    <t>5. Complete the Qualitative Questionnaire</t>
  </si>
  <si>
    <t>0. Version:</t>
  </si>
  <si>
    <t>IORP Stress Test 2019</t>
  </si>
  <si>
    <t>0. Read stress test specification document "IORP Stress Test 2019"</t>
  </si>
  <si>
    <t xml:space="preserve">Please provide the number of DC members and beneficiaries covered by the IORP (or the part of the IORP that is covered by the exercise) broken down by active, deferred and retired persons at the end of 2018 (or the most recent earlier date for which data are available) and the assets held in respect of each group. </t>
  </si>
  <si>
    <t xml:space="preserve">Please provide the total number of DC members ain the accumulation phase and amount assets invested by the IORP for these members broken down by remaining years to the standard retirement age at the end of 2018 (or the most recent earlier date for which data are available). </t>
  </si>
  <si>
    <t>France</t>
  </si>
  <si>
    <t>FR</t>
  </si>
  <si>
    <t>LifeExpFranceBase</t>
  </si>
  <si>
    <t>Wage profile developments updated based on Career_2019ST v25022019.xlsx</t>
  </si>
  <si>
    <t>Real Estate US</t>
  </si>
  <si>
    <t>Beta Real Estate US</t>
  </si>
  <si>
    <t>Equities Other Developed Markets</t>
  </si>
  <si>
    <t>Real Estate Other Developed Markets</t>
  </si>
  <si>
    <t>Beta Real Estate Other Developed Markets</t>
  </si>
  <si>
    <t>Government Bond US</t>
  </si>
  <si>
    <t>Government Bond Other Developed Markets</t>
  </si>
  <si>
    <t>Government Bond Emerging Markets</t>
  </si>
  <si>
    <t>Beta Equities Other Developed Markets</t>
  </si>
  <si>
    <t>Beta Equities Emerging Markets</t>
  </si>
  <si>
    <t>Beta Real Estate Commercial EU (non-leveraged)</t>
  </si>
  <si>
    <t>Beta Real Estate Residential EU (non-leveraged)</t>
  </si>
  <si>
    <t>Beta Equities EU</t>
  </si>
  <si>
    <t>Is Equities EU</t>
  </si>
  <si>
    <t>Is Equities Other Developed Markets</t>
  </si>
  <si>
    <t>Is Real Estate US</t>
  </si>
  <si>
    <t>Is Real Estate Other Developed Markets</t>
  </si>
  <si>
    <t>Is Government Bond EU</t>
  </si>
  <si>
    <t>Is Government Bond US</t>
  </si>
  <si>
    <t>Is Government Bond Other Developed Markets</t>
  </si>
  <si>
    <t>Is Government Bond Emerging Markets</t>
  </si>
  <si>
    <t>Is Corporate Bond</t>
  </si>
  <si>
    <t>Cash</t>
  </si>
  <si>
    <t>$O$11:$Z$11</t>
  </si>
  <si>
    <t>$O$12:$Z$112</t>
  </si>
  <si>
    <t>$AB$12:$AH$112</t>
  </si>
  <si>
    <t>$AB$11:$AH$11</t>
  </si>
  <si>
    <t>$AJ$12:$AP$112</t>
  </si>
  <si>
    <t>$AR$12:$AV$112</t>
  </si>
  <si>
    <t>$AR$11:$AV$11</t>
  </si>
  <si>
    <t>$AX$12:$ES$112</t>
  </si>
  <si>
    <t>$EU$12:$IP$112</t>
  </si>
  <si>
    <t>$IR$12:$MM$112</t>
  </si>
  <si>
    <t>$MO$12:$QJ$112</t>
  </si>
  <si>
    <t>$QL$12:$UG$112</t>
  </si>
  <si>
    <t>$UI$12:$YD$112</t>
  </si>
  <si>
    <t>$YF$12:$ACA$112</t>
  </si>
  <si>
    <t>$ACC$12:$AFX$112</t>
  </si>
  <si>
    <t>$AFZ$12:$AJU$112</t>
  </si>
  <si>
    <t>$AJW$12:$ANR$112</t>
  </si>
  <si>
    <t>H9, B14,AA31:AC50,AR31:AV50</t>
  </si>
  <si>
    <t>Government Bonds EU</t>
  </si>
  <si>
    <t>Government Bonds US</t>
  </si>
  <si>
    <t>Government Bonds Other Developed Markets</t>
  </si>
  <si>
    <t>Government Bonds Emerging Markets</t>
  </si>
  <si>
    <t>Corporate Bonds</t>
  </si>
  <si>
    <t>Corporate Bonds Non-Financial</t>
  </si>
  <si>
    <t>Corporate Bonds Financial</t>
  </si>
  <si>
    <t>EIOPA Regular Use</t>
  </si>
  <si>
    <t>Risk and Financial Stability Department</t>
  </si>
  <si>
    <t>EIOPA BoS 19-151</t>
  </si>
  <si>
    <t>Input Template and Questionnaire</t>
  </si>
  <si>
    <t>wbReportingTemplateInput</t>
  </si>
  <si>
    <t>v20190307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</si>
</sst>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quot;£&quot;* #,##0.00_);_(&quot;£&quot;* \(#,##0.00\);_(&quot;£&quot;* &quot;-&quot;??_);_(@_)"/>
    <numFmt numFmtId="165" formatCode="_(* #,##0.00_);_(* \(#,##0.00\);_(* &quot;-&quot;??_);_(@_)"/>
    <numFmt numFmtId="166" formatCode="0.0"/>
    <numFmt numFmtId="167" formatCode="0.0%"/>
    <numFmt numFmtId="168" formatCode="0.000%"/>
  </numFmts>
  <fonts count="3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u/>
      <sz val="20"/>
      <color rgb="FF035C4E"/>
      <name val="Calibri"/>
      <family val="2"/>
      <scheme val="minor"/>
    </font>
    <font>
      <sz val="11"/>
      <color rgb="FF3F3F76"/>
      <name val="Calibri"/>
      <family val="2"/>
      <scheme val="minor"/>
    </font>
    <font>
      <sz val="11"/>
      <name val="Calibri"/>
      <family val="2"/>
      <scheme val="minor"/>
    </font>
    <font>
      <sz val="11"/>
      <color rgb="FF035C4E"/>
      <name val="Calibri"/>
      <family val="2"/>
      <scheme val="minor"/>
    </font>
    <font>
      <b/>
      <sz val="16"/>
      <color rgb="FF035C4E"/>
      <name val="Calibri"/>
      <family val="2"/>
      <scheme val="minor"/>
    </font>
    <font>
      <sz val="10"/>
      <color theme="1"/>
      <name val="Calibri"/>
      <family val="2"/>
      <scheme val="minor"/>
    </font>
    <font>
      <b/>
      <sz val="14"/>
      <color theme="0"/>
      <name val="Calibri"/>
      <family val="2"/>
      <scheme val="minor"/>
    </font>
    <font>
      <sz val="11"/>
      <color theme="0"/>
      <name val="Calibri"/>
      <family val="2"/>
      <scheme val="minor"/>
    </font>
    <font>
      <sz val="11"/>
      <color rgb="FFFF0000"/>
      <name val="Calibri"/>
      <family val="2"/>
      <scheme val="minor"/>
    </font>
    <font>
      <sz val="11"/>
      <name val="Arial"/>
      <family val="2"/>
    </font>
    <font>
      <b/>
      <u/>
      <sz val="11"/>
      <color theme="0"/>
      <name val="Calibri"/>
      <family val="2"/>
      <scheme val="minor"/>
    </font>
    <font>
      <b/>
      <sz val="11"/>
      <name val="Calibri"/>
      <family val="2"/>
      <scheme val="minor"/>
    </font>
    <font>
      <b/>
      <i/>
      <sz val="14"/>
      <color rgb="FF035C4E"/>
      <name val="Calibri"/>
      <family val="2"/>
      <scheme val="minor"/>
    </font>
    <font>
      <b/>
      <i/>
      <sz val="11"/>
      <color theme="1"/>
      <name val="Calibri"/>
      <family val="2"/>
      <scheme val="minor"/>
    </font>
    <font>
      <b/>
      <i/>
      <sz val="16"/>
      <color rgb="FF00B050"/>
      <name val="Calibri"/>
      <family val="2"/>
      <scheme val="minor"/>
    </font>
    <font>
      <b/>
      <i/>
      <sz val="11"/>
      <color theme="0"/>
      <name val="Calibri"/>
      <family val="2"/>
      <scheme val="minor"/>
    </font>
    <font>
      <b/>
      <i/>
      <sz val="11"/>
      <name val="Calibri"/>
      <family val="2"/>
      <scheme val="minor"/>
    </font>
    <font>
      <i/>
      <sz val="11"/>
      <color theme="1"/>
      <name val="Calibri"/>
      <family val="2"/>
      <scheme val="minor"/>
    </font>
    <font>
      <i/>
      <sz val="11"/>
      <color rgb="FF000000"/>
      <name val="Calibri"/>
      <family val="2"/>
      <scheme val="minor"/>
    </font>
    <font>
      <b/>
      <u/>
      <sz val="14"/>
      <color theme="0"/>
      <name val="Calibri"/>
      <family val="2"/>
      <scheme val="minor"/>
    </font>
    <font>
      <sz val="11"/>
      <color theme="1"/>
      <name val="Arial"/>
      <family val="2"/>
    </font>
    <font>
      <sz val="11"/>
      <color rgb="FF000000"/>
      <name val="Calibri"/>
      <family val="2"/>
      <scheme val="minor"/>
    </font>
    <font>
      <b/>
      <sz val="12"/>
      <color rgb="FF000000"/>
      <name val="Calibri"/>
      <family val="2"/>
      <scheme val="minor"/>
    </font>
    <font>
      <sz val="10"/>
      <name val="Calibri"/>
      <family val="2"/>
      <scheme val="minor"/>
    </font>
    <font>
      <b/>
      <sz val="9"/>
      <color theme="0"/>
      <name val="Calibri"/>
      <family val="2"/>
      <scheme val="minor"/>
    </font>
    <font>
      <u/>
      <sz val="11"/>
      <color theme="1"/>
      <name val="Calibri"/>
      <family val="2"/>
      <scheme val="minor"/>
    </font>
    <font>
      <b/>
      <sz val="16"/>
      <name val="Calibri"/>
      <family val="2"/>
      <scheme val="minor"/>
    </font>
  </fonts>
  <fills count="15">
    <fill>
      <patternFill patternType="none"/>
    </fill>
    <fill>
      <patternFill patternType="gray125"/>
    </fill>
    <fill>
      <patternFill patternType="solid">
        <fgColor rgb="FFFFFF66"/>
        <bgColor indexed="64"/>
      </patternFill>
    </fill>
    <fill>
      <patternFill patternType="solid">
        <fgColor rgb="FF035C4E"/>
        <bgColor indexed="64"/>
      </patternFill>
    </fill>
    <fill>
      <patternFill patternType="solid">
        <fgColor rgb="FFFFCC99"/>
      </patternFill>
    </fill>
    <fill>
      <patternFill patternType="solid">
        <fgColor theme="0" tint="-0.249977111117893"/>
        <bgColor indexed="64"/>
      </patternFill>
    </fill>
    <fill>
      <patternFill patternType="solid">
        <fgColor rgb="FF98BDB5"/>
        <bgColor indexed="64"/>
      </patternFill>
    </fill>
    <fill>
      <patternFill patternType="solid">
        <fgColor theme="9" tint="-0.249977111117893"/>
        <bgColor indexed="64"/>
      </patternFill>
    </fill>
    <fill>
      <patternFill patternType="solid">
        <fgColor theme="0"/>
        <bgColor indexed="64"/>
      </patternFill>
    </fill>
    <fill>
      <patternFill patternType="solid">
        <fgColor indexed="42"/>
        <bgColor indexed="64"/>
      </patternFill>
    </fill>
    <fill>
      <patternFill patternType="solid">
        <fgColor indexed="26"/>
        <bgColor indexed="64"/>
      </patternFill>
    </fill>
    <fill>
      <patternFill patternType="solid">
        <fgColor indexed="40"/>
        <bgColor indexed="64"/>
      </patternFill>
    </fill>
    <fill>
      <patternFill patternType="solid">
        <fgColor theme="0" tint="-0.14999847407452621"/>
        <bgColor indexed="64"/>
      </patternFill>
    </fill>
    <fill>
      <patternFill patternType="solid">
        <fgColor rgb="FFFF0000"/>
        <bgColor indexed="64"/>
      </patternFill>
    </fill>
    <fill>
      <patternFill patternType="solid">
        <fgColor theme="6" tint="0.59996337778862885"/>
        <bgColor theme="0"/>
      </patternFill>
    </fill>
  </fills>
  <borders count="37">
    <border>
      <left/>
      <right/>
      <top/>
      <bottom/>
      <diagonal/>
    </border>
    <border>
      <left style="hair">
        <color auto="1"/>
      </left>
      <right style="hair">
        <color auto="1"/>
      </right>
      <top style="hair">
        <color auto="1"/>
      </top>
      <bottom style="hair">
        <color auto="1"/>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style="medium">
        <color indexed="64"/>
      </bottom>
      <diagonal/>
    </border>
    <border>
      <left style="hair">
        <color auto="1"/>
      </left>
      <right/>
      <top/>
      <bottom/>
      <diagonal/>
    </border>
    <border>
      <left style="hair">
        <color auto="1"/>
      </left>
      <right style="hair">
        <color auto="1"/>
      </right>
      <top style="hair">
        <color auto="1"/>
      </top>
      <bottom/>
      <diagonal/>
    </border>
    <border>
      <left style="hair">
        <color auto="1"/>
      </left>
      <right/>
      <top style="hair">
        <color auto="1"/>
      </top>
      <bottom style="hair">
        <color auto="1"/>
      </bottom>
      <diagonal/>
    </border>
    <border>
      <left/>
      <right/>
      <top style="hair">
        <color auto="1"/>
      </top>
      <bottom style="hair">
        <color auto="1"/>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hair">
        <color auto="1"/>
      </top>
      <bottom/>
      <diagonal/>
    </border>
    <border>
      <left style="medium">
        <color indexed="64"/>
      </left>
      <right/>
      <top/>
      <bottom/>
      <diagonal/>
    </border>
    <border>
      <left/>
      <right style="medium">
        <color indexed="64"/>
      </right>
      <top/>
      <bottom/>
      <diagonal/>
    </border>
    <border>
      <left style="hair">
        <color auto="1"/>
      </left>
      <right/>
      <top style="hair">
        <color auto="1"/>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hair">
        <color auto="1"/>
      </left>
      <right style="hair">
        <color auto="1"/>
      </right>
      <top style="hair">
        <color auto="1"/>
      </top>
      <bottom style="thin">
        <color theme="4" tint="0.39997558519241921"/>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hair">
        <color auto="1"/>
      </right>
      <top style="hair">
        <color auto="1"/>
      </top>
      <bottom style="hair">
        <color auto="1"/>
      </bottom>
      <diagonal/>
    </border>
    <border>
      <left/>
      <right style="hair">
        <color auto="1"/>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hair">
        <color auto="1"/>
      </bottom>
      <diagonal/>
    </border>
    <border>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style="hair">
        <color auto="1"/>
      </left>
      <right style="hair">
        <color auto="1"/>
      </right>
      <top/>
      <bottom/>
      <diagonal/>
    </border>
    <border>
      <left style="hair">
        <color auto="1"/>
      </left>
      <right style="hair">
        <color auto="1"/>
      </right>
      <top/>
      <bottom style="hair">
        <color auto="1"/>
      </bottom>
      <diagonal/>
    </border>
  </borders>
  <cellStyleXfs count="27">
    <xf numFmtId="0" fontId="0" fillId="8" borderId="0"/>
    <xf numFmtId="9"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5" fillId="4" borderId="4" applyNumberFormat="0" applyAlignment="0" applyProtection="0"/>
    <xf numFmtId="49" fontId="1" fillId="8" borderId="0" applyAlignment="0"/>
    <xf numFmtId="0" fontId="6" fillId="2" borderId="1" applyNumberFormat="0" applyAlignment="0">
      <alignment horizontal="center"/>
      <protection locked="0"/>
    </xf>
    <xf numFmtId="0" fontId="7" fillId="5" borderId="1" applyNumberFormat="0" applyAlignment="0"/>
    <xf numFmtId="9" fontId="1" fillId="6" borderId="1" applyNumberFormat="0" applyAlignment="0">
      <alignment horizontal="center"/>
    </xf>
    <xf numFmtId="0" fontId="2" fillId="3" borderId="0" applyNumberFormat="0" applyAlignment="0"/>
    <xf numFmtId="0" fontId="4" fillId="0" borderId="0"/>
    <xf numFmtId="0" fontId="8" fillId="0" borderId="0" applyNumberFormat="0"/>
    <xf numFmtId="0" fontId="6" fillId="8" borderId="0" applyNumberFormat="0" applyAlignment="0"/>
    <xf numFmtId="9" fontId="3" fillId="7" borderId="5" applyNumberFormat="0" applyAlignment="0" applyProtection="0"/>
    <xf numFmtId="0" fontId="1" fillId="9" borderId="0" applyNumberFormat="0" applyFont="0" applyBorder="0" applyAlignment="0"/>
    <xf numFmtId="3" fontId="9" fillId="10" borderId="0" applyBorder="0" applyProtection="0">
      <alignment horizontal="right" vertical="center"/>
    </xf>
    <xf numFmtId="0" fontId="11" fillId="8" borderId="0" applyNumberFormat="0" applyAlignment="0"/>
    <xf numFmtId="0" fontId="1" fillId="0" borderId="0"/>
    <xf numFmtId="0" fontId="1" fillId="11" borderId="0" applyNumberFormat="0" applyFont="0" applyBorder="0" applyAlignment="0"/>
    <xf numFmtId="0" fontId="1" fillId="12" borderId="0" applyNumberFormat="0" applyFont="0" applyBorder="0" applyAlignment="0"/>
    <xf numFmtId="0" fontId="13" fillId="0" borderId="0"/>
    <xf numFmtId="0" fontId="1" fillId="0" borderId="0"/>
    <xf numFmtId="0" fontId="1" fillId="0" borderId="0"/>
    <xf numFmtId="0" fontId="16" fillId="0" borderId="0"/>
    <xf numFmtId="0" fontId="1" fillId="8" borderId="0"/>
    <xf numFmtId="0" fontId="1" fillId="0" borderId="0"/>
    <xf numFmtId="49" fontId="27" fillId="14" borderId="0" applyBorder="0">
      <alignment horizontal="center" vertical="center"/>
      <protection locked="0"/>
    </xf>
  </cellStyleXfs>
  <cellXfs count="409">
    <xf numFmtId="0" fontId="0" fillId="8" borderId="0" xfId="0"/>
    <xf numFmtId="0" fontId="3" fillId="8" borderId="0" xfId="0" applyFont="1"/>
    <xf numFmtId="0" fontId="3" fillId="8" borderId="0" xfId="0" applyFont="1" applyAlignment="1">
      <alignment horizontal="center"/>
    </xf>
    <xf numFmtId="0" fontId="0" fillId="8" borderId="0" xfId="0"/>
    <xf numFmtId="1" fontId="6" fillId="2" borderId="1" xfId="6" applyNumberFormat="1" applyAlignment="1">
      <alignment horizontal="center"/>
      <protection locked="0"/>
    </xf>
    <xf numFmtId="0" fontId="6" fillId="2" borderId="1" xfId="6" applyAlignment="1">
      <protection locked="0"/>
    </xf>
    <xf numFmtId="0" fontId="4" fillId="0" borderId="0" xfId="10"/>
    <xf numFmtId="0" fontId="2" fillId="3" borderId="0" xfId="9"/>
    <xf numFmtId="1" fontId="1" fillId="6" borderId="1" xfId="8" applyNumberFormat="1" applyAlignment="1"/>
    <xf numFmtId="0" fontId="2" fillId="3" borderId="0" xfId="9" applyNumberFormat="1" applyAlignment="1">
      <alignment horizontal="left"/>
    </xf>
    <xf numFmtId="0" fontId="6" fillId="2" borderId="7" xfId="6" applyBorder="1" applyAlignment="1">
      <protection locked="0"/>
    </xf>
    <xf numFmtId="49" fontId="1" fillId="8" borderId="0" xfId="5"/>
    <xf numFmtId="10" fontId="1" fillId="6" borderId="1" xfId="8" applyNumberFormat="1" applyAlignment="1"/>
    <xf numFmtId="9" fontId="6" fillId="2" borderId="1" xfId="6" applyNumberFormat="1" applyAlignment="1">
      <protection locked="0"/>
    </xf>
    <xf numFmtId="49" fontId="1" fillId="8" borderId="0" xfId="5" applyAlignment="1"/>
    <xf numFmtId="0" fontId="8" fillId="0" borderId="0" xfId="17" applyFont="1" applyFill="1"/>
    <xf numFmtId="0" fontId="7" fillId="5" borderId="1" xfId="7"/>
    <xf numFmtId="49" fontId="1" fillId="8" borderId="0" xfId="5" applyAlignment="1">
      <alignment horizontal="center"/>
    </xf>
    <xf numFmtId="0" fontId="0" fillId="12" borderId="0" xfId="0" applyFill="1"/>
    <xf numFmtId="0" fontId="0" fillId="12" borderId="0" xfId="19" applyFont="1"/>
    <xf numFmtId="10" fontId="6" fillId="2" borderId="1" xfId="6" applyNumberFormat="1" applyAlignment="1">
      <protection locked="0"/>
    </xf>
    <xf numFmtId="49" fontId="6" fillId="2" borderId="1" xfId="6" applyNumberFormat="1" applyAlignment="1">
      <protection locked="0"/>
    </xf>
    <xf numFmtId="0" fontId="10" fillId="3" borderId="0" xfId="9" applyFont="1"/>
    <xf numFmtId="0" fontId="2" fillId="3" borderId="0" xfId="9" applyBorder="1"/>
    <xf numFmtId="0" fontId="0" fillId="12" borderId="3" xfId="19" applyFont="1" applyBorder="1"/>
    <xf numFmtId="0" fontId="0" fillId="12" borderId="2" xfId="19" applyFont="1" applyBorder="1"/>
    <xf numFmtId="0" fontId="0" fillId="12" borderId="10" xfId="19" applyFont="1" applyBorder="1"/>
    <xf numFmtId="0" fontId="2" fillId="3" borderId="0" xfId="9" applyAlignment="1"/>
    <xf numFmtId="0" fontId="2" fillId="3" borderId="0" xfId="9" applyAlignment="1">
      <alignment horizontal="center"/>
    </xf>
    <xf numFmtId="0" fontId="1" fillId="6" borderId="1" xfId="8" applyNumberFormat="1" applyAlignment="1"/>
    <xf numFmtId="0" fontId="2" fillId="3" borderId="0" xfId="9" applyAlignment="1">
      <alignment horizontal="left"/>
    </xf>
    <xf numFmtId="0" fontId="1" fillId="6" borderId="1" xfId="8" applyNumberFormat="1" applyAlignment="1">
      <alignment horizontal="left"/>
    </xf>
    <xf numFmtId="0" fontId="7" fillId="5" borderId="1" xfId="7" applyNumberFormat="1" applyAlignment="1"/>
    <xf numFmtId="0" fontId="2" fillId="3" borderId="0" xfId="9" applyAlignment="1">
      <alignment horizontal="left"/>
    </xf>
    <xf numFmtId="0" fontId="2" fillId="3" borderId="0" xfId="9" applyAlignment="1">
      <alignment horizontal="left"/>
    </xf>
    <xf numFmtId="0" fontId="1" fillId="6" borderId="7" xfId="8" applyNumberFormat="1" applyBorder="1" applyAlignment="1"/>
    <xf numFmtId="0" fontId="2" fillId="3" borderId="0" xfId="9" applyAlignment="1">
      <alignment horizontal="center"/>
    </xf>
    <xf numFmtId="0" fontId="0" fillId="8" borderId="0" xfId="0" applyBorder="1"/>
    <xf numFmtId="0" fontId="0" fillId="8" borderId="0" xfId="0" applyAlignment="1">
      <alignment horizontal="right"/>
    </xf>
    <xf numFmtId="0" fontId="2" fillId="3" borderId="0" xfId="9" applyAlignment="1">
      <alignment horizontal="right"/>
    </xf>
    <xf numFmtId="0" fontId="8" fillId="0" borderId="0" xfId="11"/>
    <xf numFmtId="1" fontId="6" fillId="2" borderId="1" xfId="6" applyNumberFormat="1" applyAlignment="1">
      <protection locked="0"/>
    </xf>
    <xf numFmtId="0" fontId="0" fillId="12" borderId="0" xfId="19" applyNumberFormat="1" applyFont="1"/>
    <xf numFmtId="1" fontId="0" fillId="8" borderId="0" xfId="0" applyNumberFormat="1"/>
    <xf numFmtId="0" fontId="17" fillId="8" borderId="0" xfId="0" applyFont="1"/>
    <xf numFmtId="0" fontId="1" fillId="6" borderId="1" xfId="8" applyNumberFormat="1" applyAlignment="1"/>
    <xf numFmtId="0" fontId="1" fillId="6" borderId="1" xfId="8" applyNumberFormat="1" applyAlignment="1">
      <alignment horizontal="left"/>
    </xf>
    <xf numFmtId="49" fontId="2" fillId="3" borderId="0" xfId="9" applyNumberFormat="1" applyAlignment="1">
      <alignment horizontal="center"/>
    </xf>
    <xf numFmtId="49" fontId="6" fillId="2" borderId="1" xfId="6" applyNumberFormat="1" applyAlignment="1">
      <alignment horizontal="left"/>
      <protection locked="0"/>
    </xf>
    <xf numFmtId="49" fontId="6" fillId="2" borderId="7" xfId="6" applyNumberFormat="1" applyBorder="1" applyAlignment="1">
      <protection locked="0"/>
    </xf>
    <xf numFmtId="0" fontId="2" fillId="3" borderId="0" xfId="9" applyAlignment="1">
      <alignment horizontal="left" wrapText="1"/>
    </xf>
    <xf numFmtId="0" fontId="7" fillId="5" borderId="1" xfId="7" applyAlignment="1"/>
    <xf numFmtId="0" fontId="2" fillId="3" borderId="24" xfId="9" applyFont="1" applyFill="1" applyBorder="1"/>
    <xf numFmtId="0" fontId="2" fillId="3" borderId="25" xfId="9" applyFont="1" applyFill="1" applyBorder="1"/>
    <xf numFmtId="0" fontId="7" fillId="5" borderId="1" xfId="7" applyNumberFormat="1" applyBorder="1" applyAlignment="1"/>
    <xf numFmtId="1" fontId="7" fillId="5" borderId="1" xfId="7" applyNumberFormat="1" applyBorder="1" applyAlignment="1"/>
    <xf numFmtId="0" fontId="6" fillId="2" borderId="1" xfId="6" applyAlignment="1" applyProtection="1">
      <protection locked="0"/>
    </xf>
    <xf numFmtId="0" fontId="2" fillId="3" borderId="0" xfId="9" applyAlignment="1">
      <alignment wrapText="1"/>
    </xf>
    <xf numFmtId="0" fontId="6" fillId="2" borderId="1" xfId="6" applyAlignment="1">
      <alignment vertical="top"/>
      <protection locked="0"/>
    </xf>
    <xf numFmtId="0" fontId="6" fillId="2" borderId="1" xfId="6" quotePrefix="1" applyAlignment="1">
      <alignment wrapText="1"/>
      <protection locked="0"/>
    </xf>
    <xf numFmtId="0" fontId="6" fillId="2" borderId="7" xfId="6" quotePrefix="1" applyBorder="1" applyAlignment="1">
      <protection locked="0"/>
    </xf>
    <xf numFmtId="0" fontId="6" fillId="2" borderId="1" xfId="6" applyAlignment="1">
      <alignment wrapText="1"/>
      <protection locked="0"/>
    </xf>
    <xf numFmtId="0" fontId="2" fillId="3" borderId="0" xfId="9" applyAlignment="1">
      <alignment horizontal="center"/>
    </xf>
    <xf numFmtId="9" fontId="6" fillId="2" borderId="1" xfId="1" applyFont="1" applyFill="1" applyBorder="1" applyAlignment="1" applyProtection="1">
      <protection locked="0"/>
    </xf>
    <xf numFmtId="0" fontId="0" fillId="12" borderId="0" xfId="19" applyFont="1" applyAlignment="1">
      <alignment wrapText="1"/>
    </xf>
    <xf numFmtId="166" fontId="7" fillId="5" borderId="1" xfId="7" applyNumberFormat="1" applyBorder="1" applyAlignment="1"/>
    <xf numFmtId="0" fontId="6" fillId="2" borderId="1" xfId="6" applyAlignment="1" applyProtection="1"/>
    <xf numFmtId="49" fontId="1" fillId="8" borderId="0" xfId="5" applyAlignment="1">
      <alignment wrapText="1"/>
    </xf>
    <xf numFmtId="49" fontId="6" fillId="8" borderId="0" xfId="17" quotePrefix="1" applyNumberFormat="1" applyFont="1" applyFill="1"/>
    <xf numFmtId="0" fontId="6" fillId="8" borderId="0" xfId="17" quotePrefix="1" applyFont="1" applyFill="1"/>
    <xf numFmtId="0" fontId="7" fillId="8" borderId="0" xfId="17" quotePrefix="1" applyFont="1" applyFill="1"/>
    <xf numFmtId="0" fontId="0" fillId="8" borderId="0" xfId="17" quotePrefix="1" applyFont="1" applyFill="1"/>
    <xf numFmtId="0" fontId="0" fillId="8" borderId="0" xfId="17" applyFont="1" applyFill="1"/>
    <xf numFmtId="0" fontId="0" fillId="12" borderId="0" xfId="19" applyFont="1" applyAlignment="1">
      <alignment horizontal="right"/>
    </xf>
    <xf numFmtId="0" fontId="2" fillId="3" borderId="0" xfId="9" applyAlignment="1">
      <alignment horizontal="center"/>
    </xf>
    <xf numFmtId="0" fontId="1" fillId="6" borderId="1" xfId="8" applyNumberFormat="1" applyAlignment="1"/>
    <xf numFmtId="0" fontId="0" fillId="8" borderId="0" xfId="0" applyAlignment="1">
      <alignment wrapText="1"/>
    </xf>
    <xf numFmtId="49" fontId="2" fillId="3" borderId="0" xfId="9" applyNumberFormat="1" applyAlignment="1">
      <alignment wrapText="1"/>
    </xf>
    <xf numFmtId="0" fontId="0" fillId="12" borderId="0" xfId="19" applyFont="1" applyAlignment="1">
      <alignment horizontal="right" wrapText="1"/>
    </xf>
    <xf numFmtId="0" fontId="3" fillId="8" borderId="0" xfId="0" applyFont="1" applyAlignment="1">
      <alignment wrapText="1"/>
    </xf>
    <xf numFmtId="49" fontId="6" fillId="2" borderId="1" xfId="6" applyNumberFormat="1" applyFont="1" applyAlignment="1">
      <alignment horizontal="left"/>
      <protection locked="0"/>
    </xf>
    <xf numFmtId="0" fontId="6" fillId="2" borderId="1" xfId="6" applyFont="1" applyAlignment="1">
      <alignment horizontal="left" vertical="top" wrapText="1"/>
      <protection locked="0"/>
    </xf>
    <xf numFmtId="49" fontId="6" fillId="2" borderId="1" xfId="6" applyNumberFormat="1" applyFont="1" applyAlignment="1">
      <protection locked="0"/>
    </xf>
    <xf numFmtId="49" fontId="6" fillId="2" borderId="7" xfId="6" applyNumberFormat="1" applyFont="1" applyBorder="1" applyAlignment="1">
      <protection locked="0"/>
    </xf>
    <xf numFmtId="0" fontId="6" fillId="2" borderId="1" xfId="6" applyAlignment="1">
      <alignment horizontal="left"/>
      <protection locked="0"/>
    </xf>
    <xf numFmtId="168" fontId="6" fillId="2" borderId="8" xfId="1" applyNumberFormat="1" applyFont="1" applyFill="1" applyBorder="1" applyAlignment="1" applyProtection="1">
      <alignment vertical="top"/>
      <protection locked="0"/>
    </xf>
    <xf numFmtId="168" fontId="6" fillId="2" borderId="1" xfId="1" applyNumberFormat="1" applyFont="1" applyFill="1" applyBorder="1" applyAlignment="1" applyProtection="1">
      <alignment vertical="top"/>
      <protection locked="0"/>
    </xf>
    <xf numFmtId="9" fontId="6" fillId="2" borderId="1" xfId="6" applyNumberFormat="1" applyAlignment="1" applyProtection="1">
      <alignment horizontal="right" vertical="center"/>
      <protection locked="0"/>
    </xf>
    <xf numFmtId="10" fontId="6" fillId="2" borderId="1" xfId="6" applyNumberFormat="1" applyAlignment="1" applyProtection="1">
      <protection locked="0"/>
    </xf>
    <xf numFmtId="0" fontId="0" fillId="12" borderId="0" xfId="19" applyFont="1" applyProtection="1"/>
    <xf numFmtId="0" fontId="0" fillId="8" borderId="0" xfId="0" applyProtection="1"/>
    <xf numFmtId="49" fontId="1" fillId="8" borderId="0" xfId="5" applyProtection="1"/>
    <xf numFmtId="0" fontId="4" fillId="0" borderId="0" xfId="10" applyProtection="1"/>
    <xf numFmtId="0" fontId="16" fillId="0" borderId="0" xfId="23" applyBorder="1" applyProtection="1"/>
    <xf numFmtId="0" fontId="0" fillId="12" borderId="0" xfId="19" applyFont="1" applyBorder="1" applyProtection="1"/>
    <xf numFmtId="0" fontId="2" fillId="3" borderId="0" xfId="9" applyProtection="1"/>
    <xf numFmtId="0" fontId="0" fillId="12" borderId="0" xfId="19" applyNumberFormat="1" applyFont="1" applyBorder="1" applyProtection="1"/>
    <xf numFmtId="10" fontId="0" fillId="8" borderId="0" xfId="0" applyNumberFormat="1" applyProtection="1"/>
    <xf numFmtId="9" fontId="0" fillId="8" borderId="0" xfId="1" applyNumberFormat="1" applyFont="1" applyFill="1" applyProtection="1"/>
    <xf numFmtId="0" fontId="6" fillId="2" borderId="1" xfId="6" applyNumberFormat="1" applyAlignment="1" applyProtection="1"/>
    <xf numFmtId="0" fontId="1" fillId="6" borderId="1" xfId="8" applyNumberFormat="1" applyAlignment="1" applyProtection="1"/>
    <xf numFmtId="49" fontId="1" fillId="8" borderId="0" xfId="5" applyAlignment="1" applyProtection="1"/>
    <xf numFmtId="49" fontId="1" fillId="8" borderId="0" xfId="5" applyAlignment="1" applyProtection="1">
      <alignment horizontal="right" vertical="top" wrapText="1"/>
    </xf>
    <xf numFmtId="0" fontId="1" fillId="6" borderId="1" xfId="8" applyNumberFormat="1" applyAlignment="1" applyProtection="1">
      <alignment horizontal="right" vertical="top" wrapText="1"/>
    </xf>
    <xf numFmtId="0" fontId="2" fillId="3" borderId="0" xfId="9" applyAlignment="1" applyProtection="1"/>
    <xf numFmtId="49" fontId="1" fillId="12" borderId="0" xfId="19" applyNumberFormat="1" applyBorder="1" applyAlignment="1" applyProtection="1">
      <alignment horizontal="right" vertical="top" wrapText="1"/>
    </xf>
    <xf numFmtId="49" fontId="1" fillId="12" borderId="0" xfId="19" applyNumberFormat="1" applyAlignment="1" applyProtection="1">
      <alignment horizontal="right" vertical="top" wrapText="1"/>
    </xf>
    <xf numFmtId="0" fontId="0" fillId="8" borderId="0" xfId="5" applyNumberFormat="1" applyFont="1" applyProtection="1"/>
    <xf numFmtId="0" fontId="0" fillId="12" borderId="0" xfId="19" applyFont="1" applyAlignment="1" applyProtection="1">
      <alignment wrapText="1"/>
    </xf>
    <xf numFmtId="0" fontId="0" fillId="12" borderId="0" xfId="19" applyNumberFormat="1" applyFont="1" applyAlignment="1" applyProtection="1">
      <alignment horizontal="right" vertical="top" wrapText="1"/>
    </xf>
    <xf numFmtId="49" fontId="2" fillId="3" borderId="0" xfId="9" applyNumberFormat="1" applyProtection="1"/>
    <xf numFmtId="49" fontId="2" fillId="3" borderId="0" xfId="9" applyNumberFormat="1" applyAlignment="1" applyProtection="1"/>
    <xf numFmtId="0" fontId="2" fillId="3" borderId="0" xfId="9" applyAlignment="1" applyProtection="1">
      <alignment horizontal="left" wrapText="1"/>
    </xf>
    <xf numFmtId="0" fontId="6" fillId="2" borderId="1" xfId="6" applyNumberFormat="1" applyBorder="1" applyAlignment="1" applyProtection="1"/>
    <xf numFmtId="49" fontId="1" fillId="12" borderId="0" xfId="19" applyNumberFormat="1" applyProtection="1"/>
    <xf numFmtId="49" fontId="0" fillId="12" borderId="0" xfId="19" applyNumberFormat="1" applyFont="1" applyProtection="1"/>
    <xf numFmtId="0" fontId="6" fillId="2" borderId="1" xfId="6" applyAlignment="1" applyProtection="1">
      <alignment horizontal="center"/>
      <protection locked="0"/>
    </xf>
    <xf numFmtId="1" fontId="6" fillId="2" borderId="1" xfId="6" applyNumberFormat="1" applyAlignment="1" applyProtection="1">
      <protection locked="0"/>
    </xf>
    <xf numFmtId="0" fontId="0" fillId="12" borderId="0" xfId="0" applyFill="1" applyProtection="1"/>
    <xf numFmtId="0" fontId="0" fillId="12" borderId="0" xfId="19" applyNumberFormat="1" applyFont="1" applyProtection="1"/>
    <xf numFmtId="0" fontId="10" fillId="3" borderId="0" xfId="9" applyFont="1" applyAlignment="1" applyProtection="1">
      <alignment horizontal="center"/>
    </xf>
    <xf numFmtId="0" fontId="2" fillId="3" borderId="0" xfId="9" applyNumberFormat="1" applyAlignment="1" applyProtection="1">
      <alignment horizontal="left" vertical="center"/>
    </xf>
    <xf numFmtId="49" fontId="0" fillId="8" borderId="0" xfId="0" applyNumberFormat="1" applyAlignment="1" applyProtection="1">
      <alignment wrapText="1"/>
    </xf>
    <xf numFmtId="0" fontId="14" fillId="3" borderId="0" xfId="9" applyFont="1" applyProtection="1"/>
    <xf numFmtId="9" fontId="2" fillId="3" borderId="0" xfId="9" applyNumberFormat="1" applyAlignment="1" applyProtection="1">
      <alignment vertical="top"/>
    </xf>
    <xf numFmtId="0" fontId="2" fillId="3" borderId="0" xfId="9" applyAlignment="1" applyProtection="1">
      <alignment horizontal="center" wrapText="1"/>
    </xf>
    <xf numFmtId="2" fontId="6" fillId="2" borderId="1" xfId="6" applyNumberFormat="1" applyAlignment="1" applyProtection="1">
      <alignment vertical="top"/>
      <protection locked="0"/>
    </xf>
    <xf numFmtId="168" fontId="6" fillId="2" borderId="1" xfId="6" applyNumberFormat="1" applyAlignment="1" applyProtection="1">
      <alignment vertical="top"/>
      <protection locked="0"/>
    </xf>
    <xf numFmtId="49" fontId="1" fillId="8" borderId="0" xfId="5" applyAlignment="1" applyProtection="1">
      <alignment vertical="top"/>
    </xf>
    <xf numFmtId="49" fontId="1" fillId="8" borderId="0" xfId="5" applyAlignment="1" applyProtection="1">
      <alignment vertical="center"/>
    </xf>
    <xf numFmtId="0" fontId="0" fillId="8" borderId="0" xfId="0" applyNumberFormat="1" applyProtection="1"/>
    <xf numFmtId="0" fontId="6" fillId="8" borderId="0" xfId="12" applyBorder="1" applyProtection="1"/>
    <xf numFmtId="0" fontId="0" fillId="8" borderId="0" xfId="0" applyBorder="1" applyProtection="1"/>
    <xf numFmtId="0" fontId="1" fillId="6" borderId="8" xfId="8" applyNumberFormat="1" applyBorder="1" applyAlignment="1" applyProtection="1">
      <alignment vertical="top"/>
    </xf>
    <xf numFmtId="0" fontId="1" fillId="6" borderId="9" xfId="8" applyNumberFormat="1" applyBorder="1" applyAlignment="1" applyProtection="1">
      <alignment vertical="top"/>
    </xf>
    <xf numFmtId="0" fontId="2" fillId="3" borderId="0" xfId="9" applyNumberFormat="1" applyAlignment="1" applyProtection="1">
      <alignment vertical="top"/>
    </xf>
    <xf numFmtId="0" fontId="20" fillId="8" borderId="0" xfId="12" applyFont="1" applyBorder="1" applyProtection="1"/>
    <xf numFmtId="49" fontId="2" fillId="3" borderId="0" xfId="9" applyNumberFormat="1" applyAlignment="1" applyProtection="1">
      <alignment vertical="top"/>
    </xf>
    <xf numFmtId="0" fontId="21" fillId="8" borderId="0" xfId="0" applyFont="1" applyBorder="1" applyProtection="1"/>
    <xf numFmtId="0" fontId="2" fillId="3" borderId="0" xfId="9" applyAlignment="1" applyProtection="1">
      <alignment horizontal="right"/>
    </xf>
    <xf numFmtId="0" fontId="22" fillId="8" borderId="0" xfId="0" applyFont="1" applyBorder="1" applyProtection="1"/>
    <xf numFmtId="49" fontId="1" fillId="8" borderId="0" xfId="5" applyBorder="1" applyProtection="1"/>
    <xf numFmtId="0" fontId="2" fillId="3" borderId="0" xfId="9" applyNumberFormat="1" applyAlignment="1" applyProtection="1">
      <alignment horizontal="center" vertical="top"/>
    </xf>
    <xf numFmtId="49" fontId="2" fillId="3" borderId="0" xfId="9" applyNumberFormat="1" applyAlignment="1" applyProtection="1">
      <alignment horizontal="center" vertical="top"/>
    </xf>
    <xf numFmtId="49" fontId="1" fillId="8" borderId="0" xfId="5" applyAlignment="1" applyProtection="1">
      <alignment horizontal="right"/>
    </xf>
    <xf numFmtId="2" fontId="0" fillId="12" borderId="0" xfId="19" applyNumberFormat="1" applyFont="1" applyProtection="1"/>
    <xf numFmtId="0" fontId="2" fillId="3" borderId="0" xfId="9" applyFont="1" applyProtection="1"/>
    <xf numFmtId="1" fontId="2" fillId="3" borderId="0" xfId="9" applyNumberFormat="1" applyAlignment="1" applyProtection="1"/>
    <xf numFmtId="3" fontId="2" fillId="3" borderId="0" xfId="9" applyNumberFormat="1" applyAlignment="1" applyProtection="1">
      <alignment vertical="top"/>
    </xf>
    <xf numFmtId="0" fontId="2" fillId="3" borderId="0" xfId="9" quotePrefix="1" applyAlignment="1" applyProtection="1">
      <alignment horizontal="center"/>
    </xf>
    <xf numFmtId="49" fontId="17" fillId="8" borderId="0" xfId="5" applyFont="1" applyBorder="1" applyProtection="1"/>
    <xf numFmtId="49" fontId="0" fillId="8" borderId="0" xfId="5" applyFont="1" applyBorder="1" applyProtection="1"/>
    <xf numFmtId="0" fontId="2" fillId="3" borderId="0" xfId="9" quotePrefix="1" applyProtection="1"/>
    <xf numFmtId="1" fontId="1" fillId="6" borderId="8" xfId="8" applyNumberFormat="1" applyBorder="1" applyAlignment="1" applyProtection="1">
      <alignment vertical="top"/>
    </xf>
    <xf numFmtId="49" fontId="1" fillId="8" borderId="11" xfId="5" applyBorder="1" applyProtection="1"/>
    <xf numFmtId="49" fontId="1" fillId="8" borderId="12" xfId="5" applyBorder="1" applyProtection="1"/>
    <xf numFmtId="49" fontId="1" fillId="8" borderId="12" xfId="5" applyBorder="1" applyAlignment="1" applyProtection="1">
      <alignment horizontal="center" vertical="top"/>
    </xf>
    <xf numFmtId="49" fontId="1" fillId="8" borderId="13" xfId="5" applyBorder="1" applyAlignment="1" applyProtection="1">
      <alignment vertical="top"/>
    </xf>
    <xf numFmtId="49" fontId="1" fillId="8" borderId="18" xfId="5" applyBorder="1" applyAlignment="1" applyProtection="1">
      <alignment horizontal="centerContinuous" vertical="top" wrapText="1"/>
    </xf>
    <xf numFmtId="49" fontId="1" fillId="8" borderId="19" xfId="5" applyBorder="1" applyProtection="1"/>
    <xf numFmtId="0" fontId="0" fillId="8" borderId="18" xfId="0" applyBorder="1" applyProtection="1"/>
    <xf numFmtId="49" fontId="1" fillId="8" borderId="14" xfId="5" applyBorder="1" applyAlignment="1" applyProtection="1">
      <alignment horizontal="centerContinuous" vertical="top" wrapText="1"/>
    </xf>
    <xf numFmtId="49" fontId="1" fillId="8" borderId="15" xfId="5" applyBorder="1" applyProtection="1"/>
    <xf numFmtId="49" fontId="1" fillId="8" borderId="16" xfId="5" applyBorder="1" applyProtection="1"/>
    <xf numFmtId="49" fontId="1" fillId="8" borderId="0" xfId="5" applyBorder="1" applyAlignment="1" applyProtection="1">
      <alignment horizontal="centerContinuous" vertical="top" wrapText="1"/>
    </xf>
    <xf numFmtId="49" fontId="1" fillId="8" borderId="0" xfId="5" applyAlignment="1" applyProtection="1">
      <alignment horizontal="center" wrapText="1"/>
    </xf>
    <xf numFmtId="49" fontId="1" fillId="8" borderId="0" xfId="5" applyAlignment="1" applyProtection="1">
      <alignment horizontal="centerContinuous" vertical="top" wrapText="1"/>
    </xf>
    <xf numFmtId="49" fontId="14" fillId="3" borderId="0" xfId="9" applyNumberFormat="1" applyFont="1" applyProtection="1"/>
    <xf numFmtId="49" fontId="2" fillId="3" borderId="0" xfId="9" applyNumberFormat="1" applyAlignment="1" applyProtection="1">
      <alignment horizontal="center" wrapText="1"/>
    </xf>
    <xf numFmtId="49" fontId="1" fillId="8" borderId="0" xfId="5" applyAlignment="1" applyProtection="1">
      <alignment horizontal="center"/>
    </xf>
    <xf numFmtId="0" fontId="2" fillId="3" borderId="0" xfId="9" applyAlignment="1" applyProtection="1">
      <alignment horizontal="center" vertical="top" wrapText="1"/>
    </xf>
    <xf numFmtId="0" fontId="1" fillId="12" borderId="0" xfId="19" applyFont="1" applyAlignment="1" applyProtection="1">
      <alignment horizontal="right" vertical="top" wrapText="1"/>
    </xf>
    <xf numFmtId="0" fontId="0" fillId="8" borderId="0" xfId="0" applyAlignment="1" applyProtection="1">
      <alignment wrapText="1"/>
    </xf>
    <xf numFmtId="0" fontId="2" fillId="3" borderId="0" xfId="9" applyAlignment="1" applyProtection="1">
      <alignment horizontal="right" wrapText="1"/>
    </xf>
    <xf numFmtId="49" fontId="1" fillId="8" borderId="0" xfId="5" applyAlignment="1" applyProtection="1">
      <alignment wrapText="1"/>
    </xf>
    <xf numFmtId="0" fontId="19" fillId="3" borderId="0" xfId="9" applyFont="1" applyAlignment="1" applyProtection="1">
      <alignment horizontal="right" wrapText="1"/>
    </xf>
    <xf numFmtId="0" fontId="19" fillId="3" borderId="0" xfId="9" applyNumberFormat="1" applyFont="1" applyAlignment="1" applyProtection="1">
      <alignment horizontal="right" wrapText="1"/>
    </xf>
    <xf numFmtId="0" fontId="0" fillId="12" borderId="28" xfId="19" applyFont="1" applyBorder="1" applyProtection="1"/>
    <xf numFmtId="0" fontId="0" fillId="12" borderId="3" xfId="19" applyFont="1" applyBorder="1" applyProtection="1"/>
    <xf numFmtId="10" fontId="0" fillId="12" borderId="0" xfId="19" applyNumberFormat="1" applyFont="1" applyProtection="1"/>
    <xf numFmtId="1" fontId="1" fillId="6" borderId="1" xfId="8" applyNumberFormat="1" applyAlignment="1" applyProtection="1">
      <alignment horizontal="center"/>
    </xf>
    <xf numFmtId="3" fontId="1" fillId="6" borderId="1" xfId="8" applyNumberFormat="1" applyAlignment="1" applyProtection="1"/>
    <xf numFmtId="9" fontId="6" fillId="2" borderId="1" xfId="6" applyNumberFormat="1" applyAlignment="1" applyProtection="1"/>
    <xf numFmtId="10" fontId="1" fillId="6" borderId="1" xfId="8" applyNumberFormat="1" applyAlignment="1" applyProtection="1"/>
    <xf numFmtId="10" fontId="6" fillId="2" borderId="1" xfId="6" applyNumberFormat="1" applyAlignment="1" applyProtection="1"/>
    <xf numFmtId="9" fontId="6" fillId="2" borderId="1" xfId="6" applyNumberFormat="1" applyAlignment="1" applyProtection="1">
      <alignment horizontal="right" vertical="center"/>
    </xf>
    <xf numFmtId="9" fontId="1" fillId="6" borderId="1" xfId="8" applyNumberFormat="1" applyAlignment="1" applyProtection="1"/>
    <xf numFmtId="0" fontId="0" fillId="12" borderId="29" xfId="19" applyFont="1" applyBorder="1" applyProtection="1"/>
    <xf numFmtId="0" fontId="0" fillId="12" borderId="2" xfId="19" applyFont="1" applyBorder="1" applyProtection="1"/>
    <xf numFmtId="0" fontId="0" fillId="12" borderId="30" xfId="19" applyFont="1" applyBorder="1" applyProtection="1"/>
    <xf numFmtId="0" fontId="0" fillId="12" borderId="10" xfId="19" applyFont="1" applyBorder="1" applyProtection="1"/>
    <xf numFmtId="3" fontId="6" fillId="2" borderId="1" xfId="6" applyNumberFormat="1" applyAlignment="1" applyProtection="1">
      <alignment vertical="top"/>
      <protection locked="0"/>
    </xf>
    <xf numFmtId="1" fontId="6" fillId="2" borderId="8" xfId="6" applyNumberFormat="1" applyBorder="1" applyAlignment="1" applyProtection="1">
      <alignment vertical="top"/>
      <protection locked="0"/>
    </xf>
    <xf numFmtId="9" fontId="6" fillId="2" borderId="1" xfId="6" applyNumberFormat="1" applyAlignment="1" applyProtection="1">
      <protection locked="0"/>
    </xf>
    <xf numFmtId="49" fontId="2" fillId="3" borderId="0" xfId="9" applyNumberFormat="1" applyAlignment="1" applyProtection="1">
      <protection locked="0"/>
    </xf>
    <xf numFmtId="3" fontId="2" fillId="3" borderId="0" xfId="9" applyNumberFormat="1" applyAlignment="1" applyProtection="1">
      <alignment horizontal="center" vertical="top" wrapText="1"/>
    </xf>
    <xf numFmtId="0" fontId="2" fillId="3" borderId="0" xfId="9" applyAlignment="1" applyProtection="1">
      <alignment vertical="top" wrapText="1"/>
    </xf>
    <xf numFmtId="0" fontId="0" fillId="8" borderId="0" xfId="0" applyAlignment="1" applyProtection="1"/>
    <xf numFmtId="0" fontId="0" fillId="6" borderId="8" xfId="8" applyNumberFormat="1" applyFont="1" applyBorder="1" applyAlignment="1" applyProtection="1">
      <alignment vertical="top"/>
    </xf>
    <xf numFmtId="0" fontId="19" fillId="3" borderId="0" xfId="9" applyFont="1" applyAlignment="1" applyProtection="1">
      <alignment horizontal="center" wrapText="1"/>
    </xf>
    <xf numFmtId="0" fontId="2" fillId="3" borderId="0" xfId="9" applyAlignment="1" applyProtection="1">
      <alignment wrapText="1"/>
    </xf>
    <xf numFmtId="0" fontId="0" fillId="8" borderId="0" xfId="0" applyAlignment="1" applyProtection="1">
      <alignment horizontal="left" vertical="top"/>
    </xf>
    <xf numFmtId="0" fontId="0" fillId="8" borderId="0" xfId="0" applyAlignment="1" applyProtection="1">
      <alignment vertical="top"/>
    </xf>
    <xf numFmtId="0" fontId="8" fillId="0" borderId="0" xfId="11" applyAlignment="1" applyProtection="1">
      <alignment horizontal="left" vertical="top"/>
    </xf>
    <xf numFmtId="0" fontId="8" fillId="0" borderId="0" xfId="17" applyFont="1" applyFill="1" applyProtection="1"/>
    <xf numFmtId="0" fontId="10" fillId="3" borderId="0" xfId="9" applyFont="1" applyAlignment="1" applyProtection="1">
      <alignment vertical="top"/>
    </xf>
    <xf numFmtId="0" fontId="24" fillId="8" borderId="0" xfId="0" applyFont="1" applyProtection="1"/>
    <xf numFmtId="0" fontId="17" fillId="8" borderId="0" xfId="0" applyFont="1" applyProtection="1"/>
    <xf numFmtId="0" fontId="6" fillId="2" borderId="1" xfId="6" applyAlignment="1" applyProtection="1">
      <alignment vertical="top"/>
      <protection locked="0"/>
    </xf>
    <xf numFmtId="0" fontId="0" fillId="13" borderId="0" xfId="19" applyFont="1" applyFill="1" applyProtection="1"/>
    <xf numFmtId="0" fontId="2" fillId="3" borderId="0" xfId="9" applyAlignment="1" applyProtection="1">
      <alignment horizontal="left" vertical="top" wrapText="1"/>
    </xf>
    <xf numFmtId="0" fontId="2" fillId="3" borderId="31" xfId="9" applyBorder="1" applyAlignment="1" applyProtection="1">
      <alignment horizontal="center" wrapText="1"/>
    </xf>
    <xf numFmtId="49" fontId="6" fillId="0" borderId="0" xfId="6" applyNumberFormat="1" applyFill="1" applyBorder="1" applyAlignment="1" applyProtection="1">
      <alignment horizontal="left" vertical="top" wrapText="1"/>
    </xf>
    <xf numFmtId="0" fontId="2" fillId="0" borderId="0" xfId="9" applyFill="1" applyBorder="1" applyAlignment="1" applyProtection="1">
      <alignment vertical="top" wrapText="1"/>
    </xf>
    <xf numFmtId="49" fontId="6" fillId="0" borderId="0" xfId="6" applyNumberFormat="1" applyFill="1" applyBorder="1" applyAlignment="1" applyProtection="1">
      <alignment vertical="top" wrapText="1"/>
    </xf>
    <xf numFmtId="10" fontId="6" fillId="2" borderId="1" xfId="6" applyNumberFormat="1" applyAlignment="1" applyProtection="1">
      <alignment horizontal="center" vertical="center"/>
      <protection locked="0"/>
    </xf>
    <xf numFmtId="1" fontId="6" fillId="2" borderId="8" xfId="6" applyNumberFormat="1" applyBorder="1" applyAlignment="1" applyProtection="1">
      <alignment vertical="top"/>
    </xf>
    <xf numFmtId="0" fontId="0" fillId="8" borderId="0" xfId="0" applyAlignment="1" applyProtection="1">
      <alignment wrapText="1"/>
    </xf>
    <xf numFmtId="0" fontId="0" fillId="8" borderId="0" xfId="0" applyAlignment="1" applyProtection="1">
      <alignment vertical="top" wrapText="1"/>
    </xf>
    <xf numFmtId="0" fontId="29" fillId="8" borderId="0" xfId="0" applyFont="1" applyAlignment="1" applyProtection="1">
      <alignment horizontal="left" vertical="top"/>
    </xf>
    <xf numFmtId="49" fontId="1" fillId="8" borderId="0" xfId="5" applyAlignment="1" applyProtection="1">
      <alignment vertical="top" wrapText="1"/>
    </xf>
    <xf numFmtId="0" fontId="1" fillId="6" borderId="1" xfId="8" applyNumberFormat="1" applyAlignment="1" applyProtection="1"/>
    <xf numFmtId="0" fontId="2" fillId="3" borderId="0" xfId="9" applyAlignment="1" applyProtection="1">
      <alignment horizontal="center"/>
    </xf>
    <xf numFmtId="0" fontId="2" fillId="3" borderId="0" xfId="9" applyBorder="1" applyAlignment="1" applyProtection="1">
      <alignment horizontal="left" vertical="top" wrapText="1"/>
    </xf>
    <xf numFmtId="49" fontId="1" fillId="8" borderId="0" xfId="5" applyAlignment="1" applyProtection="1">
      <alignment horizontal="left" vertical="top" wrapText="1"/>
    </xf>
    <xf numFmtId="0" fontId="2" fillId="3" borderId="0" xfId="9" applyAlignment="1" applyProtection="1">
      <alignment horizontal="left"/>
    </xf>
    <xf numFmtId="1" fontId="1" fillId="6" borderId="1" xfId="8" applyNumberFormat="1" applyAlignment="1" applyProtection="1">
      <alignment horizontal="center" vertical="center"/>
    </xf>
    <xf numFmtId="0" fontId="1" fillId="6" borderId="1" xfId="8" applyNumberFormat="1" applyAlignment="1" applyProtection="1">
      <protection locked="0"/>
    </xf>
    <xf numFmtId="0" fontId="0" fillId="12" borderId="0" xfId="19" applyFont="1" applyProtection="1">
      <protection hidden="1"/>
    </xf>
    <xf numFmtId="0" fontId="0" fillId="12" borderId="23" xfId="19" applyNumberFormat="1" applyFont="1" applyBorder="1" applyAlignment="1" applyProtection="1">
      <protection hidden="1"/>
    </xf>
    <xf numFmtId="0" fontId="0" fillId="12" borderId="1" xfId="19" applyNumberFormat="1" applyFont="1" applyBorder="1" applyAlignment="1" applyProtection="1">
      <protection hidden="1"/>
    </xf>
    <xf numFmtId="0" fontId="0" fillId="8" borderId="0" xfId="0" applyProtection="1">
      <protection hidden="1"/>
    </xf>
    <xf numFmtId="0" fontId="4" fillId="0" borderId="0" xfId="10" applyProtection="1">
      <protection hidden="1"/>
    </xf>
    <xf numFmtId="49" fontId="1" fillId="8" borderId="0" xfId="5" applyProtection="1">
      <protection hidden="1"/>
    </xf>
    <xf numFmtId="0" fontId="1" fillId="8" borderId="0" xfId="5" applyNumberFormat="1" applyProtection="1">
      <protection hidden="1"/>
    </xf>
    <xf numFmtId="49" fontId="1" fillId="8" borderId="0" xfId="5" applyAlignment="1" applyProtection="1">
      <alignment horizontal="center" vertical="center"/>
      <protection hidden="1"/>
    </xf>
    <xf numFmtId="0" fontId="2" fillId="3" borderId="0" xfId="9" applyProtection="1">
      <protection hidden="1"/>
    </xf>
    <xf numFmtId="0" fontId="6" fillId="2" borderId="1" xfId="6" applyAlignment="1" applyProtection="1">
      <protection hidden="1"/>
    </xf>
    <xf numFmtId="49" fontId="2" fillId="3" borderId="0" xfId="9" applyNumberFormat="1" applyAlignment="1" applyProtection="1">
      <protection hidden="1"/>
    </xf>
    <xf numFmtId="0" fontId="2" fillId="3" borderId="0" xfId="9" applyAlignment="1" applyProtection="1">
      <protection hidden="1"/>
    </xf>
    <xf numFmtId="0" fontId="2" fillId="3" borderId="0" xfId="9" applyAlignment="1" applyProtection="1">
      <alignment wrapText="1"/>
      <protection hidden="1"/>
    </xf>
    <xf numFmtId="0" fontId="14" fillId="3" borderId="0" xfId="9" applyFont="1" applyAlignment="1" applyProtection="1">
      <alignment horizontal="left"/>
      <protection hidden="1"/>
    </xf>
    <xf numFmtId="0" fontId="2" fillId="3" borderId="0" xfId="9" applyAlignment="1" applyProtection="1">
      <alignment horizontal="left" vertical="top"/>
      <protection hidden="1"/>
    </xf>
    <xf numFmtId="1" fontId="1" fillId="6" borderId="1" xfId="8" applyNumberFormat="1" applyAlignment="1" applyProtection="1">
      <protection hidden="1"/>
    </xf>
    <xf numFmtId="1" fontId="2" fillId="3" borderId="0" xfId="9" applyNumberFormat="1" applyAlignment="1" applyProtection="1">
      <protection hidden="1"/>
    </xf>
    <xf numFmtId="9" fontId="3" fillId="6" borderId="1" xfId="1" applyFont="1" applyFill="1" applyBorder="1" applyAlignment="1" applyProtection="1">
      <protection hidden="1"/>
    </xf>
    <xf numFmtId="9" fontId="2" fillId="3" borderId="0" xfId="9" applyNumberFormat="1" applyAlignment="1" applyProtection="1">
      <protection hidden="1"/>
    </xf>
    <xf numFmtId="2" fontId="1" fillId="6" borderId="1" xfId="8" applyNumberFormat="1" applyAlignment="1" applyProtection="1">
      <protection hidden="1"/>
    </xf>
    <xf numFmtId="2" fontId="2" fillId="3" borderId="0" xfId="9" applyNumberFormat="1" applyAlignment="1" applyProtection="1">
      <protection hidden="1"/>
    </xf>
    <xf numFmtId="0" fontId="2" fillId="3" borderId="0" xfId="9" applyAlignment="1" applyProtection="1">
      <alignment horizontal="left"/>
      <protection hidden="1"/>
    </xf>
    <xf numFmtId="1" fontId="1" fillId="6" borderId="1" xfId="8" applyNumberFormat="1" applyAlignment="1" applyProtection="1">
      <alignment horizontal="right"/>
      <protection hidden="1"/>
    </xf>
    <xf numFmtId="1" fontId="2" fillId="3" borderId="0" xfId="9" applyNumberFormat="1" applyAlignment="1" applyProtection="1">
      <alignment horizontal="right"/>
      <protection hidden="1"/>
    </xf>
    <xf numFmtId="0" fontId="2" fillId="3" borderId="0" xfId="9" applyAlignment="1" applyProtection="1">
      <alignment horizontal="center"/>
      <protection hidden="1"/>
    </xf>
    <xf numFmtId="9" fontId="3" fillId="6" borderId="1" xfId="1" applyNumberFormat="1" applyFont="1" applyFill="1" applyBorder="1" applyAlignment="1" applyProtection="1">
      <alignment horizontal="right"/>
      <protection hidden="1"/>
    </xf>
    <xf numFmtId="9" fontId="2" fillId="3" borderId="0" xfId="9" applyNumberFormat="1" applyAlignment="1" applyProtection="1">
      <alignment horizontal="right"/>
      <protection hidden="1"/>
    </xf>
    <xf numFmtId="9" fontId="15" fillId="6" borderId="1" xfId="1" applyFont="1" applyFill="1" applyBorder="1" applyAlignment="1" applyProtection="1">
      <alignment horizontal="right"/>
      <protection hidden="1"/>
    </xf>
    <xf numFmtId="10" fontId="1" fillId="6" borderId="1" xfId="8" applyNumberFormat="1" applyAlignment="1" applyProtection="1">
      <alignment horizontal="right"/>
      <protection hidden="1"/>
    </xf>
    <xf numFmtId="10" fontId="2" fillId="3" borderId="0" xfId="9" applyNumberFormat="1" applyAlignment="1" applyProtection="1">
      <alignment horizontal="right"/>
      <protection hidden="1"/>
    </xf>
    <xf numFmtId="0" fontId="23" fillId="3" borderId="0" xfId="9" applyFont="1" applyProtection="1">
      <protection hidden="1"/>
    </xf>
    <xf numFmtId="0" fontId="14" fillId="3" borderId="0" xfId="9" applyFont="1" applyProtection="1">
      <protection hidden="1"/>
    </xf>
    <xf numFmtId="49" fontId="2" fillId="3" borderId="0" xfId="9" applyNumberFormat="1" applyProtection="1">
      <protection hidden="1"/>
    </xf>
    <xf numFmtId="1" fontId="1" fillId="6" borderId="1" xfId="1" applyNumberFormat="1" applyFill="1" applyBorder="1" applyAlignment="1" applyProtection="1">
      <protection hidden="1"/>
    </xf>
    <xf numFmtId="9" fontId="15" fillId="6" borderId="1" xfId="1" applyFont="1" applyFill="1" applyBorder="1" applyAlignment="1" applyProtection="1">
      <protection hidden="1"/>
    </xf>
    <xf numFmtId="49" fontId="1" fillId="8" borderId="0" xfId="5" applyAlignment="1" applyProtection="1">
      <alignment horizontal="left" vertical="top"/>
      <protection hidden="1"/>
    </xf>
    <xf numFmtId="49" fontId="1" fillId="8" borderId="0" xfId="5" applyAlignment="1" applyProtection="1">
      <alignment horizontal="right"/>
      <protection hidden="1"/>
    </xf>
    <xf numFmtId="167" fontId="1" fillId="6" borderId="1" xfId="1" applyNumberFormat="1" applyFill="1" applyBorder="1" applyAlignment="1" applyProtection="1">
      <protection hidden="1"/>
    </xf>
    <xf numFmtId="167" fontId="2" fillId="3" borderId="0" xfId="9" applyNumberFormat="1" applyAlignment="1" applyProtection="1">
      <protection hidden="1"/>
    </xf>
    <xf numFmtId="167" fontId="3" fillId="6" borderId="1" xfId="1" applyNumberFormat="1" applyFont="1" applyFill="1" applyBorder="1" applyAlignment="1" applyProtection="1">
      <protection hidden="1"/>
    </xf>
    <xf numFmtId="167" fontId="1" fillId="6" borderId="1" xfId="8" applyNumberFormat="1" applyAlignment="1" applyProtection="1">
      <alignment horizontal="right"/>
      <protection hidden="1"/>
    </xf>
    <xf numFmtId="167" fontId="2" fillId="3" borderId="0" xfId="9" applyNumberFormat="1" applyAlignment="1" applyProtection="1">
      <alignment horizontal="right"/>
      <protection hidden="1"/>
    </xf>
    <xf numFmtId="0" fontId="1" fillId="12" borderId="0" xfId="19" applyFont="1" applyProtection="1">
      <protection hidden="1"/>
    </xf>
    <xf numFmtId="0" fontId="0" fillId="8" borderId="0" xfId="0" applyFont="1" applyProtection="1">
      <protection hidden="1"/>
    </xf>
    <xf numFmtId="0" fontId="2" fillId="3" borderId="0" xfId="9" applyFont="1" applyProtection="1">
      <protection hidden="1"/>
    </xf>
    <xf numFmtId="49" fontId="1" fillId="8" borderId="0" xfId="5" applyAlignment="1" applyProtection="1">
      <protection hidden="1"/>
    </xf>
    <xf numFmtId="9" fontId="0" fillId="8" borderId="0" xfId="1" applyFont="1" applyFill="1" applyProtection="1">
      <protection hidden="1"/>
    </xf>
    <xf numFmtId="0" fontId="10" fillId="3" borderId="0" xfId="9" applyFont="1" applyAlignment="1" applyProtection="1">
      <protection hidden="1"/>
    </xf>
    <xf numFmtId="0" fontId="10" fillId="3" borderId="0" xfId="9" applyFont="1" applyProtection="1">
      <protection hidden="1"/>
    </xf>
    <xf numFmtId="49" fontId="2" fillId="3" borderId="0" xfId="9" applyNumberFormat="1" applyAlignment="1" applyProtection="1">
      <alignment horizontal="center"/>
      <protection hidden="1"/>
    </xf>
    <xf numFmtId="0" fontId="1" fillId="6" borderId="1" xfId="8" applyNumberFormat="1" applyAlignment="1" applyProtection="1">
      <protection hidden="1"/>
    </xf>
    <xf numFmtId="9" fontId="1" fillId="6" borderId="1" xfId="8" applyAlignment="1" applyProtection="1">
      <protection hidden="1"/>
    </xf>
    <xf numFmtId="9" fontId="1" fillId="6" borderId="1" xfId="1" applyNumberFormat="1" applyFill="1" applyBorder="1" applyAlignment="1" applyProtection="1">
      <protection hidden="1"/>
    </xf>
    <xf numFmtId="49" fontId="10" fillId="8" borderId="0" xfId="5" applyFont="1" applyAlignment="1" applyProtection="1">
      <alignment horizontal="center"/>
      <protection hidden="1"/>
    </xf>
    <xf numFmtId="0" fontId="16" fillId="0" borderId="0" xfId="23" applyBorder="1" applyProtection="1">
      <protection hidden="1"/>
    </xf>
    <xf numFmtId="0" fontId="2" fillId="3" borderId="0" xfId="9" applyAlignment="1" applyProtection="1">
      <alignment vertical="top"/>
      <protection hidden="1"/>
    </xf>
    <xf numFmtId="0" fontId="2" fillId="3" borderId="0" xfId="9" applyNumberFormat="1" applyProtection="1">
      <protection hidden="1"/>
    </xf>
    <xf numFmtId="1" fontId="6" fillId="2" borderId="1" xfId="6" applyNumberFormat="1" applyAlignment="1" applyProtection="1">
      <protection hidden="1"/>
    </xf>
    <xf numFmtId="49" fontId="1" fillId="8" borderId="0" xfId="5" applyAlignment="1" applyProtection="1">
      <alignment horizontal="right" vertical="top" wrapText="1"/>
      <protection hidden="1"/>
    </xf>
    <xf numFmtId="0" fontId="0" fillId="6" borderId="1" xfId="8" applyNumberFormat="1" applyFont="1" applyAlignment="1" applyProtection="1">
      <protection hidden="1"/>
    </xf>
    <xf numFmtId="10" fontId="1" fillId="6" borderId="1" xfId="1" applyNumberFormat="1" applyFill="1" applyBorder="1" applyAlignment="1" applyProtection="1">
      <protection hidden="1"/>
    </xf>
    <xf numFmtId="0" fontId="0" fillId="8" borderId="0" xfId="5" applyNumberFormat="1" applyFont="1" applyProtection="1">
      <protection hidden="1"/>
    </xf>
    <xf numFmtId="0" fontId="6" fillId="2" borderId="1" xfId="6" applyAlignment="1" applyProtection="1">
      <alignment horizontal="center"/>
      <protection locked="0" hidden="1"/>
    </xf>
    <xf numFmtId="49" fontId="6" fillId="2" borderId="1" xfId="6" applyNumberFormat="1" applyAlignment="1" applyProtection="1">
      <alignment vertical="top" wrapText="1"/>
      <protection locked="0" hidden="1"/>
    </xf>
    <xf numFmtId="49" fontId="6" fillId="2" borderId="1" xfId="6" applyNumberFormat="1" applyAlignment="1" applyProtection="1">
      <protection locked="0" hidden="1"/>
    </xf>
    <xf numFmtId="168" fontId="6" fillId="2" borderId="1" xfId="1" applyNumberFormat="1" applyFont="1" applyFill="1" applyBorder="1" applyAlignment="1" applyProtection="1">
      <protection locked="0" hidden="1"/>
    </xf>
    <xf numFmtId="0" fontId="1" fillId="0" borderId="0" xfId="17" applyFill="1" applyProtection="1">
      <protection hidden="1"/>
    </xf>
    <xf numFmtId="0" fontId="6" fillId="0" borderId="0" xfId="17" applyFont="1" applyFill="1" applyProtection="1">
      <protection hidden="1"/>
    </xf>
    <xf numFmtId="0" fontId="4" fillId="0" borderId="0" xfId="17" applyFont="1" applyFill="1" applyProtection="1">
      <protection hidden="1"/>
    </xf>
    <xf numFmtId="0" fontId="8" fillId="0" borderId="0" xfId="17" applyFont="1" applyFill="1" applyProtection="1">
      <protection hidden="1"/>
    </xf>
    <xf numFmtId="0" fontId="1" fillId="12" borderId="0" xfId="19" applyProtection="1">
      <protection hidden="1"/>
    </xf>
    <xf numFmtId="0" fontId="1" fillId="12" borderId="0" xfId="19" applyNumberFormat="1" applyProtection="1">
      <protection hidden="1"/>
    </xf>
    <xf numFmtId="0" fontId="6" fillId="8" borderId="0" xfId="12" applyProtection="1">
      <protection hidden="1"/>
    </xf>
    <xf numFmtId="0" fontId="12" fillId="0" borderId="0" xfId="17" applyFont="1" applyFill="1" applyProtection="1">
      <protection hidden="1"/>
    </xf>
    <xf numFmtId="0" fontId="0" fillId="0" borderId="0" xfId="17" applyFont="1" applyFill="1" applyProtection="1">
      <protection hidden="1"/>
    </xf>
    <xf numFmtId="0" fontId="7" fillId="0" borderId="0" xfId="17" applyFont="1" applyFill="1" applyProtection="1">
      <protection hidden="1"/>
    </xf>
    <xf numFmtId="0" fontId="6" fillId="2" borderId="1" xfId="17" applyFont="1" applyFill="1" applyBorder="1" applyAlignment="1" applyProtection="1">
      <alignment horizontal="center"/>
      <protection hidden="1"/>
    </xf>
    <xf numFmtId="9" fontId="1" fillId="6" borderId="1" xfId="17" applyNumberFormat="1" applyFill="1" applyBorder="1" applyAlignment="1" applyProtection="1">
      <alignment horizontal="center"/>
      <protection hidden="1"/>
    </xf>
    <xf numFmtId="0" fontId="7" fillId="5" borderId="1" xfId="7" applyProtection="1">
      <protection hidden="1"/>
    </xf>
    <xf numFmtId="0" fontId="16" fillId="0" borderId="0" xfId="17" applyFont="1" applyFill="1" applyProtection="1">
      <protection hidden="1"/>
    </xf>
    <xf numFmtId="0" fontId="16" fillId="0" borderId="0" xfId="23" applyAlignment="1" applyProtection="1">
      <protection hidden="1"/>
    </xf>
    <xf numFmtId="0" fontId="16" fillId="0" borderId="0" xfId="23" applyProtection="1">
      <protection hidden="1"/>
    </xf>
    <xf numFmtId="0" fontId="17" fillId="0" borderId="0" xfId="17" applyFont="1" applyFill="1" applyAlignment="1" applyProtection="1">
      <alignment horizontal="left" vertical="top"/>
      <protection hidden="1"/>
    </xf>
    <xf numFmtId="0" fontId="1" fillId="0" borderId="0" xfId="17" applyFont="1" applyFill="1" applyAlignment="1" applyProtection="1">
      <alignment horizontal="left" vertical="top"/>
      <protection hidden="1"/>
    </xf>
    <xf numFmtId="0" fontId="0" fillId="8" borderId="0" xfId="0" applyBorder="1" applyProtection="1">
      <protection hidden="1"/>
    </xf>
    <xf numFmtId="0" fontId="2" fillId="3" borderId="0" xfId="9" applyAlignment="1" applyProtection="1">
      <alignment horizontal="left"/>
    </xf>
    <xf numFmtId="0" fontId="2" fillId="3" borderId="0" xfId="9" applyAlignment="1">
      <alignment horizontal="center"/>
    </xf>
    <xf numFmtId="0" fontId="2" fillId="3" borderId="21" xfId="9" applyFont="1" applyFill="1" applyBorder="1" applyAlignment="1">
      <alignment horizontal="left" wrapText="1"/>
    </xf>
    <xf numFmtId="49" fontId="1" fillId="8" borderId="0" xfId="5" applyAlignment="1">
      <alignment horizontal="left"/>
    </xf>
    <xf numFmtId="0" fontId="0" fillId="8" borderId="0" xfId="0" applyAlignment="1">
      <alignment horizontal="left"/>
    </xf>
    <xf numFmtId="49" fontId="2" fillId="3" borderId="0" xfId="9" applyNumberFormat="1" applyAlignment="1">
      <alignment horizontal="left"/>
    </xf>
    <xf numFmtId="0" fontId="2" fillId="3" borderId="21" xfId="9" applyFont="1" applyFill="1" applyBorder="1" applyAlignment="1">
      <alignment horizontal="left" vertical="top" wrapText="1"/>
    </xf>
    <xf numFmtId="0" fontId="2" fillId="3" borderId="22" xfId="9" applyFont="1" applyFill="1" applyBorder="1" applyAlignment="1">
      <alignment horizontal="left" wrapText="1"/>
    </xf>
    <xf numFmtId="0" fontId="6" fillId="2" borderId="1" xfId="6" applyNumberFormat="1" applyAlignment="1">
      <alignment horizontal="center"/>
      <protection locked="0"/>
    </xf>
    <xf numFmtId="49" fontId="6" fillId="2" borderId="1" xfId="6" applyNumberFormat="1" applyAlignment="1">
      <alignment horizontal="center"/>
      <protection locked="0"/>
    </xf>
    <xf numFmtId="0" fontId="6" fillId="2" borderId="7" xfId="6" applyNumberFormat="1" applyBorder="1" applyAlignment="1">
      <alignment horizontal="center"/>
      <protection locked="0"/>
    </xf>
    <xf numFmtId="49" fontId="6" fillId="2" borderId="7" xfId="6" applyNumberFormat="1" applyBorder="1" applyAlignment="1">
      <alignment horizontal="center"/>
      <protection locked="0"/>
    </xf>
    <xf numFmtId="49" fontId="6" fillId="2" borderId="1" xfId="6" applyNumberFormat="1" applyBorder="1" applyAlignment="1">
      <protection locked="0"/>
    </xf>
    <xf numFmtId="0" fontId="6" fillId="2" borderId="1" xfId="6" applyNumberFormat="1" applyBorder="1" applyAlignment="1">
      <alignment horizontal="center"/>
      <protection locked="0"/>
    </xf>
    <xf numFmtId="49" fontId="6" fillId="2" borderId="1" xfId="6" applyNumberFormat="1" applyBorder="1" applyAlignment="1">
      <alignment horizontal="center"/>
      <protection locked="0"/>
    </xf>
    <xf numFmtId="0" fontId="2" fillId="3" borderId="21" xfId="9" applyFont="1" applyFill="1" applyBorder="1" applyAlignment="1" applyProtection="1">
      <alignment horizontal="left" wrapText="1"/>
    </xf>
    <xf numFmtId="0" fontId="1" fillId="6" borderId="1" xfId="8" applyNumberFormat="1" applyAlignment="1" applyProtection="1">
      <alignment horizontal="center"/>
    </xf>
    <xf numFmtId="0" fontId="6" fillId="2" borderId="1" xfId="6" applyAlignment="1" applyProtection="1">
      <alignment horizontal="center"/>
    </xf>
    <xf numFmtId="0" fontId="0" fillId="8" borderId="0" xfId="0" applyAlignment="1" applyProtection="1">
      <alignment textRotation="45"/>
    </xf>
    <xf numFmtId="1" fontId="6" fillId="2" borderId="7" xfId="6" applyNumberFormat="1" applyBorder="1" applyAlignment="1">
      <alignment horizontal="center"/>
      <protection locked="0"/>
    </xf>
    <xf numFmtId="2" fontId="1" fillId="6" borderId="1" xfId="8" applyNumberFormat="1" applyAlignment="1" applyProtection="1">
      <alignment horizontal="center"/>
    </xf>
    <xf numFmtId="0" fontId="28" fillId="3" borderId="0" xfId="9" applyFont="1" applyAlignment="1" applyProtection="1">
      <alignment horizontal="right" wrapText="1"/>
      <protection hidden="1"/>
    </xf>
    <xf numFmtId="0" fontId="3" fillId="8" borderId="0" xfId="0" applyFont="1" applyBorder="1" applyAlignment="1">
      <alignment vertical="top"/>
    </xf>
    <xf numFmtId="0" fontId="3" fillId="8" borderId="0" xfId="0" applyFont="1" applyAlignment="1">
      <alignment vertical="top"/>
    </xf>
    <xf numFmtId="14" fontId="3" fillId="8" borderId="0" xfId="0" applyNumberFormat="1" applyFont="1" applyAlignment="1">
      <alignment horizontal="left" vertical="top"/>
    </xf>
    <xf numFmtId="0" fontId="10" fillId="3" borderId="0" xfId="9" applyFont="1" applyAlignment="1">
      <alignment horizontal="center"/>
    </xf>
    <xf numFmtId="0" fontId="18" fillId="8" borderId="0" xfId="0" applyFont="1" applyAlignment="1">
      <alignment horizontal="center"/>
    </xf>
    <xf numFmtId="0" fontId="3" fillId="8" borderId="0" xfId="0" applyFont="1" applyAlignment="1" applyProtection="1">
      <alignment horizontal="center"/>
      <protection hidden="1"/>
    </xf>
    <xf numFmtId="166" fontId="30" fillId="8" borderId="11" xfId="0" applyNumberFormat="1" applyFont="1" applyBorder="1" applyAlignment="1">
      <alignment horizontal="center" vertical="center"/>
    </xf>
    <xf numFmtId="166" fontId="30" fillId="8" borderId="13" xfId="0" applyNumberFormat="1" applyFont="1" applyBorder="1" applyAlignment="1">
      <alignment horizontal="center" vertical="center"/>
    </xf>
    <xf numFmtId="166" fontId="30" fillId="8" borderId="14" xfId="0" applyNumberFormat="1" applyFont="1" applyBorder="1" applyAlignment="1">
      <alignment horizontal="center" vertical="center"/>
    </xf>
    <xf numFmtId="166" fontId="30" fillId="8" borderId="16" xfId="0" applyNumberFormat="1" applyFont="1" applyBorder="1" applyAlignment="1">
      <alignment horizontal="center" vertical="center"/>
    </xf>
    <xf numFmtId="0" fontId="3" fillId="0" borderId="0" xfId="17" applyFont="1" applyFill="1" applyAlignment="1" applyProtection="1">
      <alignment horizontal="center"/>
      <protection hidden="1"/>
    </xf>
    <xf numFmtId="166" fontId="30" fillId="8" borderId="0" xfId="0" applyNumberFormat="1" applyFont="1" applyBorder="1" applyAlignment="1">
      <alignment horizontal="center" vertical="center"/>
    </xf>
    <xf numFmtId="3" fontId="6" fillId="2" borderId="20" xfId="6" applyNumberFormat="1" applyBorder="1" applyAlignment="1" applyProtection="1">
      <alignment horizontal="left" vertical="top"/>
      <protection locked="0"/>
    </xf>
    <xf numFmtId="3" fontId="6" fillId="2" borderId="17" xfId="6" applyNumberFormat="1" applyBorder="1" applyAlignment="1" applyProtection="1">
      <alignment horizontal="left" vertical="top"/>
      <protection locked="0"/>
    </xf>
    <xf numFmtId="0" fontId="10" fillId="3" borderId="0" xfId="9" applyFont="1" applyAlignment="1" applyProtection="1">
      <alignment horizontal="center"/>
    </xf>
    <xf numFmtId="0" fontId="6" fillId="2" borderId="8" xfId="6" applyNumberFormat="1" applyBorder="1" applyAlignment="1" applyProtection="1">
      <alignment horizontal="left" vertical="top"/>
      <protection locked="0"/>
    </xf>
    <xf numFmtId="0" fontId="6" fillId="2" borderId="9" xfId="6" applyNumberFormat="1" applyBorder="1" applyAlignment="1" applyProtection="1">
      <alignment horizontal="left" vertical="top"/>
      <protection locked="0"/>
    </xf>
    <xf numFmtId="0" fontId="6" fillId="2" borderId="26" xfId="6" applyNumberFormat="1" applyBorder="1" applyAlignment="1" applyProtection="1">
      <alignment horizontal="left" vertical="top"/>
      <protection locked="0"/>
    </xf>
    <xf numFmtId="0" fontId="1" fillId="6" borderId="1" xfId="8" applyNumberFormat="1" applyFont="1" applyAlignment="1">
      <alignment horizontal="left" vertical="top"/>
    </xf>
    <xf numFmtId="0" fontId="1" fillId="6" borderId="1" xfId="8" applyNumberFormat="1" applyFont="1" applyAlignment="1" applyProtection="1"/>
    <xf numFmtId="0" fontId="6" fillId="2" borderId="1" xfId="6" applyNumberFormat="1" applyAlignment="1" applyProtection="1">
      <alignment horizontal="left" vertical="center"/>
      <protection locked="0"/>
    </xf>
    <xf numFmtId="0" fontId="6" fillId="2" borderId="1" xfId="6" applyNumberFormat="1" applyAlignment="1" applyProtection="1">
      <alignment horizontal="left" vertical="top"/>
      <protection locked="0"/>
    </xf>
    <xf numFmtId="0" fontId="1" fillId="6" borderId="1" xfId="8" applyNumberFormat="1" applyAlignment="1" applyProtection="1"/>
    <xf numFmtId="0" fontId="2" fillId="3" borderId="0" xfId="9" applyAlignment="1" applyProtection="1">
      <alignment horizontal="center" wrapText="1"/>
    </xf>
    <xf numFmtId="0" fontId="10" fillId="3" borderId="0" xfId="9" applyFont="1" applyAlignment="1" applyProtection="1">
      <alignment horizontal="center"/>
      <protection hidden="1"/>
    </xf>
    <xf numFmtId="49" fontId="10" fillId="8" borderId="0" xfId="5" applyFont="1" applyAlignment="1" applyProtection="1">
      <alignment horizontal="center"/>
      <protection hidden="1"/>
    </xf>
    <xf numFmtId="0" fontId="2" fillId="3" borderId="0" xfId="9" applyAlignment="1" applyProtection="1">
      <alignment horizontal="center"/>
      <protection hidden="1"/>
    </xf>
    <xf numFmtId="49" fontId="10" fillId="3" borderId="0" xfId="9" applyNumberFormat="1" applyFont="1" applyAlignment="1" applyProtection="1">
      <alignment horizontal="center" vertical="top" wrapText="1"/>
      <protection hidden="1"/>
    </xf>
    <xf numFmtId="49" fontId="2" fillId="3" borderId="0" xfId="9" applyNumberFormat="1" applyAlignment="1" applyProtection="1">
      <alignment horizontal="center"/>
    </xf>
    <xf numFmtId="0" fontId="2" fillId="3" borderId="0" xfId="9" applyAlignment="1" applyProtection="1">
      <alignment horizontal="center" vertical="top" wrapText="1"/>
    </xf>
    <xf numFmtId="49" fontId="8" fillId="0" borderId="0" xfId="11" applyNumberFormat="1" applyAlignment="1" applyProtection="1">
      <alignment horizontal="center"/>
    </xf>
    <xf numFmtId="49" fontId="1" fillId="8" borderId="0" xfId="5" applyAlignment="1" applyProtection="1">
      <alignment horizontal="center" wrapText="1"/>
    </xf>
    <xf numFmtId="0" fontId="6" fillId="2" borderId="8" xfId="6" applyNumberFormat="1" applyBorder="1" applyAlignment="1" applyProtection="1">
      <alignment horizontal="center" vertical="top"/>
      <protection locked="0"/>
    </xf>
    <xf numFmtId="0" fontId="6" fillId="2" borderId="9" xfId="6" applyNumberFormat="1" applyBorder="1" applyAlignment="1" applyProtection="1">
      <alignment horizontal="center" vertical="top"/>
      <protection locked="0"/>
    </xf>
    <xf numFmtId="0" fontId="6" fillId="2" borderId="20" xfId="6" applyNumberFormat="1" applyBorder="1" applyAlignment="1" applyProtection="1">
      <alignment horizontal="center" vertical="top"/>
      <protection locked="0"/>
    </xf>
    <xf numFmtId="0" fontId="6" fillId="2" borderId="17" xfId="6" applyNumberFormat="1" applyBorder="1" applyAlignment="1" applyProtection="1">
      <alignment horizontal="center" vertical="top"/>
      <protection locked="0"/>
    </xf>
    <xf numFmtId="0" fontId="6" fillId="2" borderId="7" xfId="6" applyBorder="1" applyAlignment="1" applyProtection="1">
      <alignment horizontal="center" vertical="top"/>
      <protection locked="0"/>
    </xf>
    <xf numFmtId="0" fontId="6" fillId="2" borderId="35" xfId="6" applyBorder="1" applyAlignment="1" applyProtection="1">
      <alignment horizontal="center" vertical="top"/>
      <protection locked="0"/>
    </xf>
    <xf numFmtId="0" fontId="6" fillId="2" borderId="36" xfId="6" applyBorder="1" applyAlignment="1" applyProtection="1">
      <alignment horizontal="center" vertical="top"/>
      <protection locked="0"/>
    </xf>
    <xf numFmtId="0" fontId="2" fillId="3" borderId="0" xfId="9" applyBorder="1" applyAlignment="1" applyProtection="1">
      <alignment horizontal="left" vertical="top" wrapText="1"/>
    </xf>
    <xf numFmtId="10" fontId="6" fillId="2" borderId="20" xfId="6" applyNumberFormat="1" applyBorder="1" applyAlignment="1" applyProtection="1">
      <alignment horizontal="center" vertical="center"/>
      <protection locked="0"/>
    </xf>
    <xf numFmtId="10" fontId="6" fillId="2" borderId="17" xfId="6" applyNumberFormat="1" applyBorder="1" applyAlignment="1" applyProtection="1">
      <alignment horizontal="center" vertical="center"/>
      <protection locked="0"/>
    </xf>
    <xf numFmtId="10" fontId="6" fillId="2" borderId="32" xfId="6" applyNumberFormat="1" applyBorder="1" applyAlignment="1" applyProtection="1">
      <alignment horizontal="center" vertical="center"/>
      <protection locked="0"/>
    </xf>
    <xf numFmtId="10" fontId="6" fillId="2" borderId="6" xfId="6" applyNumberFormat="1" applyBorder="1" applyAlignment="1" applyProtection="1">
      <alignment horizontal="center" vertical="center"/>
      <protection locked="0"/>
    </xf>
    <xf numFmtId="10" fontId="6" fillId="2" borderId="0" xfId="6" applyNumberFormat="1" applyBorder="1" applyAlignment="1" applyProtection="1">
      <alignment horizontal="center" vertical="center"/>
      <protection locked="0"/>
    </xf>
    <xf numFmtId="10" fontId="6" fillId="2" borderId="27" xfId="6" applyNumberFormat="1" applyBorder="1" applyAlignment="1" applyProtection="1">
      <alignment horizontal="center" vertical="center"/>
      <protection locked="0"/>
    </xf>
    <xf numFmtId="10" fontId="6" fillId="2" borderId="33" xfId="6" applyNumberFormat="1" applyBorder="1" applyAlignment="1" applyProtection="1">
      <alignment horizontal="center" vertical="center"/>
      <protection locked="0"/>
    </xf>
    <xf numFmtId="10" fontId="6" fillId="2" borderId="31" xfId="6" applyNumberFormat="1" applyBorder="1" applyAlignment="1" applyProtection="1">
      <alignment horizontal="center" vertical="center"/>
      <protection locked="0"/>
    </xf>
    <xf numFmtId="10" fontId="6" fillId="2" borderId="34" xfId="6" applyNumberFormat="1" applyBorder="1" applyAlignment="1" applyProtection="1">
      <alignment horizontal="center" vertical="center"/>
      <protection locked="0"/>
    </xf>
    <xf numFmtId="0" fontId="2" fillId="3" borderId="0" xfId="9" applyBorder="1" applyAlignment="1" applyProtection="1">
      <alignment horizontal="left" vertical="top"/>
    </xf>
    <xf numFmtId="49" fontId="6" fillId="2" borderId="8" xfId="6" applyNumberFormat="1" applyBorder="1" applyAlignment="1" applyProtection="1">
      <alignment horizontal="left" vertical="top" wrapText="1"/>
      <protection locked="0"/>
    </xf>
    <xf numFmtId="49" fontId="6" fillId="2" borderId="9" xfId="6" applyNumberFormat="1" applyBorder="1" applyAlignment="1" applyProtection="1">
      <alignment horizontal="left" vertical="top" wrapText="1"/>
      <protection locked="0"/>
    </xf>
    <xf numFmtId="49" fontId="6" fillId="2" borderId="26" xfId="6" applyNumberFormat="1" applyBorder="1" applyAlignment="1" applyProtection="1">
      <alignment horizontal="left" vertical="top" wrapText="1"/>
      <protection locked="0"/>
    </xf>
    <xf numFmtId="0" fontId="0" fillId="8" borderId="0" xfId="0" applyAlignment="1" applyProtection="1">
      <alignment horizontal="left" vertical="top" wrapText="1"/>
    </xf>
    <xf numFmtId="0" fontId="6" fillId="2" borderId="20" xfId="6" applyBorder="1" applyAlignment="1" applyProtection="1">
      <alignment horizontal="center" vertical="top"/>
      <protection locked="0"/>
    </xf>
    <xf numFmtId="0" fontId="6" fillId="2" borderId="17" xfId="6" applyBorder="1" applyAlignment="1" applyProtection="1">
      <alignment horizontal="center" vertical="top"/>
      <protection locked="0"/>
    </xf>
    <xf numFmtId="0" fontId="6" fillId="2" borderId="32" xfId="6" applyBorder="1" applyAlignment="1" applyProtection="1">
      <alignment horizontal="center" vertical="top"/>
      <protection locked="0"/>
    </xf>
    <xf numFmtId="0" fontId="6" fillId="2" borderId="6" xfId="6" applyBorder="1" applyAlignment="1" applyProtection="1">
      <alignment horizontal="center" vertical="top"/>
      <protection locked="0"/>
    </xf>
    <xf numFmtId="0" fontId="6" fillId="2" borderId="0" xfId="6" applyBorder="1" applyAlignment="1" applyProtection="1">
      <alignment horizontal="center" vertical="top"/>
      <protection locked="0"/>
    </xf>
    <xf numFmtId="0" fontId="6" fillId="2" borderId="27" xfId="6" applyBorder="1" applyAlignment="1" applyProtection="1">
      <alignment horizontal="center" vertical="top"/>
      <protection locked="0"/>
    </xf>
    <xf numFmtId="0" fontId="6" fillId="2" borderId="33" xfId="6" applyBorder="1" applyAlignment="1" applyProtection="1">
      <alignment horizontal="center" vertical="top"/>
      <protection locked="0"/>
    </xf>
    <xf numFmtId="0" fontId="6" fillId="2" borderId="31" xfId="6" applyBorder="1" applyAlignment="1" applyProtection="1">
      <alignment horizontal="center" vertical="top"/>
      <protection locked="0"/>
    </xf>
    <xf numFmtId="0" fontId="6" fillId="2" borderId="34" xfId="6" applyBorder="1" applyAlignment="1" applyProtection="1">
      <alignment horizontal="center" vertical="top"/>
      <protection locked="0"/>
    </xf>
    <xf numFmtId="49" fontId="6" fillId="2" borderId="8" xfId="6" applyNumberFormat="1" applyBorder="1" applyAlignment="1" applyProtection="1">
      <alignment horizontal="center" vertical="top" wrapText="1"/>
      <protection locked="0"/>
    </xf>
    <xf numFmtId="49" fontId="6" fillId="2" borderId="9" xfId="6" applyNumberFormat="1" applyBorder="1" applyAlignment="1" applyProtection="1">
      <alignment horizontal="center" vertical="top" wrapText="1"/>
      <protection locked="0"/>
    </xf>
    <xf numFmtId="49" fontId="6" fillId="2" borderId="26" xfId="6" applyNumberFormat="1" applyBorder="1" applyAlignment="1" applyProtection="1">
      <alignment horizontal="center" vertical="top" wrapText="1"/>
      <protection locked="0"/>
    </xf>
    <xf numFmtId="0" fontId="2" fillId="3" borderId="31" xfId="9" applyBorder="1" applyAlignment="1" applyProtection="1">
      <alignment horizontal="left" vertical="top"/>
    </xf>
    <xf numFmtId="0" fontId="2" fillId="3" borderId="0" xfId="9" applyAlignment="1" applyProtection="1">
      <alignment horizontal="left"/>
    </xf>
    <xf numFmtId="49" fontId="1" fillId="6" borderId="0" xfId="8" applyNumberFormat="1" applyBorder="1" applyAlignment="1" applyProtection="1">
      <alignment horizontal="left" vertical="top" wrapText="1"/>
    </xf>
    <xf numFmtId="49" fontId="1" fillId="8" borderId="0" xfId="5" applyAlignment="1" applyProtection="1">
      <alignment horizontal="left" vertical="top" wrapText="1"/>
    </xf>
    <xf numFmtId="0" fontId="0" fillId="8" borderId="0" xfId="0" applyBorder="1" applyAlignment="1" applyProtection="1">
      <alignment horizontal="left" vertical="top" wrapText="1"/>
    </xf>
    <xf numFmtId="49" fontId="6" fillId="2" borderId="1" xfId="6" applyNumberFormat="1" applyAlignment="1" applyProtection="1">
      <alignment horizontal="left" vertical="top" wrapText="1"/>
      <protection locked="0"/>
    </xf>
    <xf numFmtId="0" fontId="2" fillId="3" borderId="0" xfId="9" applyAlignment="1">
      <alignment horizontal="center"/>
    </xf>
    <xf numFmtId="0" fontId="12" fillId="12" borderId="0" xfId="19" applyFont="1" applyAlignment="1">
      <alignment horizontal="center" wrapText="1"/>
    </xf>
  </cellXfs>
  <cellStyles count="27">
    <cellStyle name="CBackGround" xfId="5"/>
    <cellStyle name="CBlankBankground" xfId="16"/>
    <cellStyle name="CHideCell" xfId="19"/>
    <cellStyle name="CInput" xfId="6"/>
    <cellStyle name="Comma" xfId="2" builtinId="3" customBuiltin="1"/>
    <cellStyle name="COutputMacro" xfId="7"/>
    <cellStyle name="COutputVal" xfId="8"/>
    <cellStyle name="CSheetHeader" xfId="10"/>
    <cellStyle name="CSheetSubHeader" xfId="11"/>
    <cellStyle name="CSheetSubSubHeader" xfId="23"/>
    <cellStyle name="CSheetText" xfId="12"/>
    <cellStyle name="CTableHeader" xfId="9"/>
    <cellStyle name="CTempCell" xfId="13"/>
    <cellStyle name="Currency" xfId="3" builtinId="4" customBuiltin="1"/>
    <cellStyle name="DC_Input_Text" xfId="26"/>
    <cellStyle name="Formula_cell" xfId="15"/>
    <cellStyle name="Input" xfId="4" builtinId="20" customBuiltin="1"/>
    <cellStyle name="Label_cell" xfId="14"/>
    <cellStyle name="Normal" xfId="0" builtinId="0" customBuiltin="1"/>
    <cellStyle name="Normal 2" xfId="17"/>
    <cellStyle name="Normal 2 2" xfId="24"/>
    <cellStyle name="Normal 2 2 2" xfId="25"/>
    <cellStyle name="Normal 3" xfId="20"/>
    <cellStyle name="Normal 4" xfId="21"/>
    <cellStyle name="Normal 5" xfId="22"/>
    <cellStyle name="Percent" xfId="1" builtinId="5"/>
    <cellStyle name="QISP_Header" xfId="18"/>
  </cellStyles>
  <dxfs count="255">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numFmt numFmtId="1" formatCode="0"/>
      <alignment horizontal="general" vertical="bottom" textRotation="0" wrapText="0" indent="0" justifyLastLine="0" shrinkToFit="0" readingOrder="0"/>
      <border outline="0">
        <left style="hair">
          <color auto="1"/>
        </left>
      </border>
    </dxf>
    <dxf>
      <numFmt numFmtId="1" formatCode="0"/>
      <alignment horizontal="general" vertical="bottom" textRotation="0" wrapText="0" indent="0" justifyLastLine="0" shrinkToFit="0" readingOrder="0"/>
      <border outline="0">
        <left style="hair">
          <color auto="1"/>
        </left>
        <right style="hair">
          <color auto="1"/>
        </right>
      </border>
    </dxf>
    <dxf>
      <numFmt numFmtId="1" formatCode="0"/>
      <alignment horizontal="general" vertical="bottom" textRotation="0" wrapText="0" indent="0" justifyLastLine="0" shrinkToFit="0" readingOrder="0"/>
      <border outline="0">
        <left style="hair">
          <color auto="1"/>
        </left>
        <right style="hair">
          <color auto="1"/>
        </right>
      </border>
    </dxf>
    <dxf>
      <numFmt numFmtId="166" formatCode="0.0"/>
      <alignment horizontal="general" vertical="bottom" textRotation="0" wrapText="0" indent="0" justifyLastLine="0" shrinkToFit="0" readingOrder="0"/>
      <border diagonalUp="0" diagonalDown="0" outline="0">
        <left style="hair">
          <color auto="1"/>
        </left>
        <right style="hair">
          <color auto="1"/>
        </right>
        <top style="hair">
          <color auto="1"/>
        </top>
        <bottom style="hair">
          <color auto="1"/>
        </bottom>
      </border>
    </dxf>
    <dxf>
      <numFmt numFmtId="1" formatCode="0"/>
      <alignment horizontal="general" vertical="bottom" textRotation="0" wrapText="0" indent="0" justifyLastLine="0" shrinkToFit="0" readingOrder="0"/>
      <border outline="0">
        <left style="hair">
          <color auto="1"/>
        </left>
        <right style="hair">
          <color auto="1"/>
        </right>
      </border>
    </dxf>
    <dxf>
      <numFmt numFmtId="1" formatCode="0"/>
      <alignment horizontal="general" vertical="bottom" textRotation="0" wrapText="0" indent="0" justifyLastLine="0" shrinkToFit="0" readingOrder="0"/>
      <border outline="0">
        <right style="hair">
          <color auto="1"/>
        </right>
      </border>
    </dxf>
    <dxf>
      <numFmt numFmtId="0" formatCode="General"/>
      <alignment horizontal="general" vertical="bottom" textRotation="0" wrapText="0" indent="0" justifyLastLine="0" shrinkToFit="0" readingOrder="0"/>
      <border outline="0">
        <right style="hair">
          <color auto="1"/>
        </right>
      </border>
    </dxf>
    <dxf>
      <numFmt numFmtId="0" formatCode="General"/>
      <alignment horizontal="general" vertical="bottom" textRotation="0" wrapText="0" indent="0" justifyLastLine="0" shrinkToFit="0" readingOrder="0"/>
    </dxf>
    <dxf>
      <border outline="0">
        <top style="hair">
          <color auto="1"/>
        </top>
      </border>
    </dxf>
    <dxf>
      <border outline="0">
        <top style="thin">
          <color theme="4" tint="0.39997558519241921"/>
        </top>
        <bottom style="hair">
          <color auto="1"/>
        </bottom>
      </border>
    </dxf>
    <dxf>
      <alignment horizontal="general" vertical="bottom" textRotation="0" wrapText="0" indent="0" justifyLastLine="0" shrinkToFit="0" readingOrder="0"/>
    </dxf>
    <dxf>
      <border outline="0">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indexed="64"/>
          <bgColor rgb="FF035C4E"/>
        </patternFill>
      </fill>
    </dxf>
    <dxf>
      <font>
        <b/>
        <i val="0"/>
        <color rgb="FFC00000"/>
      </font>
      <fill>
        <patternFill patternType="none">
          <bgColor auto="1"/>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dxf>
    <dxf>
      <font>
        <color theme="0"/>
      </font>
      <fill>
        <patternFill>
          <bgColor theme="0"/>
        </patternFill>
      </fill>
      <border>
        <left/>
        <right/>
        <top/>
        <bottom/>
      </border>
    </dxf>
    <dxf>
      <font>
        <color theme="0"/>
      </font>
      <fill>
        <patternFill>
          <bgColor theme="0"/>
        </patternFill>
      </fill>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vertical/>
        <horizontal/>
      </border>
    </dxf>
    <dxf>
      <font>
        <b val="0"/>
        <i/>
        <strike/>
        <color theme="1" tint="0.499984740745262"/>
      </font>
    </dxf>
    <dxf>
      <fill>
        <patternFill>
          <bgColor rgb="FFFF0000"/>
        </patternFill>
      </fill>
    </dxf>
    <dxf>
      <font>
        <color theme="0"/>
      </font>
      <fill>
        <patternFill>
          <bgColor theme="0"/>
        </patternFill>
      </fill>
      <border>
        <right/>
        <top/>
        <bottom/>
      </border>
    </dxf>
    <dxf>
      <font>
        <color theme="0"/>
      </font>
      <fill>
        <patternFill>
          <bgColor theme="0"/>
        </patternFill>
      </fill>
      <border>
        <left/>
        <right/>
        <bottom/>
      </border>
    </dxf>
    <dxf>
      <fill>
        <patternFill>
          <bgColor rgb="FFFF0000"/>
        </patternFill>
      </fill>
    </dxf>
    <dxf>
      <font>
        <color theme="0"/>
      </font>
      <fill>
        <patternFill>
          <bgColor theme="0"/>
        </patternFill>
      </fill>
      <border>
        <right/>
        <top/>
        <bottom/>
      </border>
    </dxf>
    <dxf>
      <font>
        <color theme="0"/>
      </font>
      <fill>
        <patternFill>
          <bgColor theme="0"/>
        </patternFill>
      </fill>
      <border>
        <left/>
        <right/>
        <bottom/>
      </border>
    </dxf>
    <dxf>
      <font>
        <color theme="0"/>
      </font>
      <fill>
        <patternFill>
          <bgColor theme="0"/>
        </patternFill>
      </fill>
      <border>
        <left/>
        <right/>
        <bottom/>
      </border>
    </dxf>
    <dxf>
      <font>
        <color theme="0"/>
      </font>
      <fill>
        <patternFill>
          <bgColor theme="0"/>
        </patternFill>
      </fill>
      <border>
        <left/>
        <right/>
        <bottom/>
      </border>
    </dxf>
    <dxf>
      <font>
        <color theme="0"/>
      </font>
      <fill>
        <patternFill>
          <bgColor theme="0"/>
        </patternFill>
      </fill>
      <border>
        <left/>
        <right/>
        <bottom/>
      </border>
    </dxf>
    <dxf>
      <font>
        <b val="0"/>
        <i/>
        <strike/>
        <color theme="1" tint="0.499984740745262"/>
      </font>
    </dxf>
    <dxf>
      <font>
        <b val="0"/>
        <i/>
        <color auto="1"/>
      </font>
    </dxf>
    <dxf>
      <font>
        <color theme="0"/>
      </font>
      <fill>
        <patternFill>
          <bgColor theme="0"/>
        </patternFill>
      </fill>
      <border>
        <left/>
        <right/>
        <bottom/>
      </border>
    </dxf>
    <dxf>
      <font>
        <color theme="0"/>
      </font>
      <fill>
        <patternFill>
          <bgColor theme="0"/>
        </patternFill>
      </fill>
      <border>
        <left/>
        <right/>
        <bottom/>
      </border>
    </dxf>
    <dxf>
      <font>
        <color theme="0"/>
      </font>
      <fill>
        <patternFill>
          <bgColor theme="0"/>
        </patternFill>
      </fill>
      <border>
        <left/>
        <right/>
        <bottom/>
      </border>
    </dxf>
    <dxf>
      <font>
        <b val="0"/>
        <i/>
        <strike/>
        <color theme="1" tint="0.499984740745262"/>
      </font>
    </dxf>
    <dxf>
      <fill>
        <patternFill>
          <bgColor rgb="FFFF0000"/>
        </patternFill>
      </fill>
    </dxf>
    <dxf>
      <font>
        <color theme="0"/>
      </font>
      <fill>
        <patternFill>
          <bgColor theme="0"/>
        </patternFill>
      </fill>
      <border>
        <right/>
        <top/>
        <bottom/>
      </border>
    </dxf>
    <dxf>
      <font>
        <color theme="0"/>
      </font>
      <fill>
        <patternFill>
          <bgColor theme="0"/>
        </patternFill>
      </fill>
      <border>
        <left/>
        <right/>
        <bottom/>
      </border>
    </dxf>
    <dxf>
      <fill>
        <patternFill>
          <bgColor rgb="FFFF0000"/>
        </patternFill>
      </fill>
    </dxf>
    <dxf>
      <font>
        <color theme="0"/>
      </font>
      <fill>
        <patternFill>
          <bgColor theme="0"/>
        </patternFill>
      </fill>
      <border>
        <right/>
        <top/>
        <bottom/>
      </border>
    </dxf>
    <dxf>
      <font>
        <color theme="0"/>
      </font>
      <fill>
        <patternFill>
          <bgColor theme="0"/>
        </patternFill>
      </fill>
      <border>
        <left/>
        <right/>
        <bottom/>
      </border>
    </dxf>
    <dxf>
      <font>
        <color theme="0"/>
      </font>
      <fill>
        <patternFill>
          <bgColor theme="0"/>
        </patternFill>
      </fill>
      <border>
        <left/>
        <right/>
        <bottom/>
      </border>
    </dxf>
    <dxf>
      <font>
        <color theme="0"/>
      </font>
      <fill>
        <patternFill>
          <bgColor theme="0"/>
        </patternFill>
      </fill>
      <border>
        <left/>
        <right/>
        <bottom/>
      </border>
    </dxf>
    <dxf>
      <font>
        <color theme="0"/>
      </font>
      <fill>
        <patternFill>
          <bgColor theme="0"/>
        </patternFill>
      </fill>
      <border>
        <left/>
        <right/>
        <bottom/>
      </border>
    </dxf>
    <dxf>
      <font>
        <color theme="0"/>
      </font>
      <fill>
        <patternFill>
          <bgColor theme="0"/>
        </patternFill>
      </fill>
      <border>
        <left/>
        <right/>
        <bottom/>
      </border>
    </dxf>
    <dxf>
      <font>
        <color theme="0"/>
      </font>
      <fill>
        <patternFill>
          <bgColor theme="0"/>
        </patternFill>
      </fill>
      <border>
        <left/>
        <right/>
        <bottom/>
      </border>
    </dxf>
    <dxf>
      <font>
        <b val="0"/>
        <i/>
        <strike/>
        <color theme="1" tint="0.499984740745262"/>
      </font>
    </dxf>
    <dxf>
      <font>
        <b val="0"/>
        <i/>
        <color auto="1"/>
      </font>
    </dxf>
    <dxf>
      <font>
        <color theme="0"/>
      </font>
      <fill>
        <patternFill>
          <bgColor theme="0"/>
        </patternFill>
      </fill>
      <border>
        <left/>
        <right/>
        <bottom/>
      </border>
    </dxf>
    <dxf>
      <font>
        <color theme="0"/>
      </font>
      <fill>
        <patternFill>
          <bgColor theme="0"/>
        </patternFill>
      </fill>
      <border>
        <left/>
        <right/>
        <bottom/>
      </border>
    </dxf>
    <dxf>
      <font>
        <color theme="0"/>
      </font>
      <fill>
        <patternFill>
          <bgColor theme="0"/>
        </patternFill>
      </fill>
      <border>
        <left/>
        <right/>
        <bottom/>
      </border>
    </dxf>
    <dxf>
      <fill>
        <patternFill>
          <bgColor rgb="FFFF0000"/>
        </patternFill>
      </fill>
    </dxf>
    <dxf>
      <font>
        <color theme="0"/>
      </font>
      <fill>
        <patternFill>
          <bgColor theme="0"/>
        </patternFill>
      </fill>
      <border>
        <right/>
        <top/>
        <bottom/>
      </border>
    </dxf>
    <dxf>
      <font>
        <color theme="0"/>
      </font>
      <fill>
        <patternFill>
          <bgColor theme="0"/>
        </patternFill>
      </fill>
      <border>
        <left/>
        <right/>
        <bottom/>
      </border>
    </dxf>
    <dxf>
      <font>
        <b val="0"/>
        <i/>
        <strike/>
        <color theme="1" tint="0.499984740745262"/>
      </font>
    </dxf>
    <dxf>
      <font>
        <b val="0"/>
        <i/>
        <strike/>
        <color theme="1" tint="0.499984740745262"/>
      </font>
    </dxf>
    <dxf>
      <font>
        <b val="0"/>
        <i/>
        <strike/>
        <color theme="1" tint="0.499984740745262"/>
      </font>
    </dxf>
    <dxf>
      <font>
        <color theme="0"/>
      </font>
      <fill>
        <patternFill>
          <bgColor theme="0"/>
        </patternFill>
      </fill>
      <border>
        <right/>
        <top/>
        <bottom/>
      </border>
    </dxf>
    <dxf>
      <font>
        <color theme="0"/>
      </font>
      <fill>
        <patternFill>
          <bgColor theme="0"/>
        </patternFill>
      </fill>
      <border>
        <left/>
        <right/>
        <bottom/>
      </border>
    </dxf>
    <dxf>
      <font>
        <b val="0"/>
        <i/>
        <color auto="1"/>
      </font>
    </dxf>
    <dxf>
      <font>
        <color theme="0"/>
      </font>
      <fill>
        <patternFill>
          <bgColor theme="0"/>
        </patternFill>
      </fill>
      <border>
        <left/>
        <right/>
        <bottom/>
      </border>
    </dxf>
    <dxf>
      <font>
        <color theme="0"/>
      </font>
      <fill>
        <patternFill>
          <bgColor theme="0"/>
        </patternFill>
      </fill>
      <border>
        <left/>
        <right/>
        <bottom/>
      </border>
    </dxf>
    <dxf>
      <font>
        <color theme="0"/>
      </font>
      <fill>
        <patternFill>
          <bgColor theme="0"/>
        </patternFill>
      </fill>
      <border>
        <right/>
        <top/>
        <bottom/>
      </border>
    </dxf>
    <dxf>
      <fill>
        <patternFill>
          <bgColor rgb="FFFF0000"/>
        </patternFill>
      </fill>
    </dxf>
    <dxf>
      <font>
        <color theme="0"/>
      </font>
      <fill>
        <patternFill>
          <bgColor theme="0"/>
        </patternFill>
      </fill>
      <border>
        <left/>
        <right/>
        <bottom/>
      </border>
    </dxf>
    <dxf>
      <numFmt numFmtId="0" formatCode="General"/>
      <alignment horizontal="center" vertical="bottom" textRotation="0" wrapText="0" indent="0" justifyLastLine="0" shrinkToFit="0" readingOrder="0"/>
      <protection locked="1" hidden="0"/>
    </dxf>
    <dxf>
      <numFmt numFmtId="0" formatCode="General"/>
      <alignment horizontal="center" vertical="bottom" textRotation="0" wrapText="0" indent="0" justifyLastLine="0" shrinkToFit="0" readingOrder="0"/>
      <protection locked="1" hidden="0"/>
    </dxf>
    <dxf>
      <numFmt numFmtId="0" formatCode="General"/>
      <alignment horizontal="center" vertical="bottom" textRotation="0" wrapText="0" indent="0" justifyLastLine="0" shrinkToFit="0" readingOrder="0"/>
      <protection locked="1" hidden="0"/>
    </dxf>
    <dxf>
      <numFmt numFmtId="0" formatCode="General"/>
      <alignment horizontal="center" vertical="bottom" textRotation="0" wrapText="0" indent="0" justifyLastLine="0" shrinkToFit="0" readingOrder="0"/>
      <protection locked="1" hidden="0"/>
    </dxf>
    <dxf>
      <numFmt numFmtId="0" formatCode="General"/>
      <alignment horizontal="center" vertical="bottom" textRotation="0" wrapText="0" indent="0" justifyLastLine="0" shrinkToFit="0" readingOrder="0"/>
      <protection locked="1" hidden="0"/>
    </dxf>
    <dxf>
      <numFmt numFmtId="0" formatCode="General"/>
      <alignment horizontal="center" vertical="bottom" textRotation="0" wrapText="0" indent="0" justifyLastLine="0" shrinkToFit="0" readingOrder="0"/>
      <protection locked="1" hidden="0"/>
    </dxf>
    <dxf>
      <numFmt numFmtId="0" formatCode="General"/>
      <alignment horizontal="center" vertical="bottom" textRotation="0" wrapText="0" indent="0" justifyLastLine="0" shrinkToFit="0" readingOrder="0"/>
      <protection locked="1" hidden="0"/>
    </dxf>
    <dxf>
      <numFmt numFmtId="0" formatCode="General"/>
      <alignment horizontal="center" vertical="bottom" textRotation="0" wrapText="0" indent="0" justifyLastLine="0" shrinkToFit="0" readingOrder="0"/>
      <protection locked="1" hidden="0"/>
    </dxf>
    <dxf>
      <numFmt numFmtId="0" formatCode="General"/>
      <alignment horizontal="center" vertical="bottom" textRotation="0" wrapText="0" indent="0" justifyLastLine="0" shrinkToFit="0" readingOrder="0"/>
      <protection locked="1" hidden="0"/>
    </dxf>
    <dxf>
      <numFmt numFmtId="0" formatCode="General"/>
      <alignment horizontal="center" vertical="bottom" textRotation="0" wrapText="0" indent="0" justifyLastLine="0" shrinkToFit="0" readingOrder="0"/>
      <protection locked="1" hidden="0"/>
    </dxf>
    <dxf>
      <numFmt numFmtId="0" formatCode="General"/>
      <alignment horizontal="center" vertical="bottom" textRotation="0" wrapText="0" indent="0" justifyLastLine="0" shrinkToFit="0" readingOrder="0"/>
      <protection locked="1" hidden="0"/>
    </dxf>
    <dxf>
      <numFmt numFmtId="0" formatCode="General"/>
      <alignment horizontal="center" vertical="bottom" textRotation="0" wrapText="0" indent="0" justifyLastLine="0" shrinkToFit="0" readingOrder="0"/>
      <protection locked="1" hidden="0"/>
    </dxf>
    <dxf>
      <numFmt numFmtId="0" formatCode="General"/>
      <alignment horizontal="center" vertical="bottom" textRotation="0" wrapText="0" indent="0" justifyLastLine="0" shrinkToFit="0" readingOrder="0"/>
      <protection locked="1" hidden="0"/>
    </dxf>
    <dxf>
      <numFmt numFmtId="0" formatCode="General"/>
      <alignment horizontal="center" vertical="bottom" textRotation="0" wrapText="0" indent="0" justifyLastLine="0" shrinkToFit="0" readingOrder="0"/>
      <protection locked="1" hidden="0"/>
    </dxf>
    <dxf>
      <numFmt numFmtId="0" formatCode="General"/>
      <alignment horizontal="center" vertical="bottom" textRotation="0" wrapText="0" indent="0" justifyLastLine="0" shrinkToFit="0" readingOrder="0"/>
      <protection locked="1" hidden="0"/>
    </dxf>
    <dxf>
      <numFmt numFmtId="0" formatCode="General"/>
      <alignment horizontal="center" vertical="bottom" textRotation="0" wrapText="0" indent="0" justifyLastLine="0" shrinkToFit="0" readingOrder="0"/>
      <protection locked="1" hidden="0"/>
    </dxf>
    <dxf>
      <numFmt numFmtId="0" formatCode="General"/>
      <alignment horizontal="center" vertical="bottom" textRotation="0" wrapText="0" indent="0" justifyLastLine="0" shrinkToFit="0" readingOrder="0"/>
      <protection locked="1" hidden="0"/>
    </dxf>
    <dxf>
      <numFmt numFmtId="0" formatCode="General"/>
      <alignment horizontal="center" vertical="bottom" textRotation="0" wrapText="0" indent="0" justifyLastLine="0" shrinkToFit="0" readingOrder="0"/>
      <protection locked="1" hidden="0"/>
    </dxf>
    <dxf>
      <numFmt numFmtId="0" formatCode="General"/>
      <alignment horizontal="center" vertical="bottom" textRotation="0" wrapText="0" indent="0" justifyLastLine="0" shrinkToFit="0" readingOrder="0"/>
      <protection locked="1" hidden="0"/>
    </dxf>
    <dxf>
      <numFmt numFmtId="0" formatCode="General"/>
      <alignment horizontal="center" vertical="bottom" textRotation="0" wrapText="0" indent="0" justifyLastLine="0" shrinkToFit="0" readingOrder="0"/>
      <protection locked="1" hidden="0"/>
    </dxf>
    <dxf>
      <numFmt numFmtId="0" formatCode="General"/>
      <alignment horizontal="center" vertical="bottom" textRotation="0" wrapText="0" indent="0" justifyLastLine="0" shrinkToFit="0" readingOrder="0"/>
      <protection locked="1" hidden="0"/>
    </dxf>
    <dxf>
      <numFmt numFmtId="0" formatCode="General"/>
      <alignment horizontal="center" vertical="bottom" textRotation="0" wrapText="0" indent="0" justifyLastLine="0" shrinkToFit="0" readingOrder="0"/>
      <protection locked="1" hidden="0"/>
    </dxf>
    <dxf>
      <numFmt numFmtId="0" formatCode="General"/>
      <alignment horizontal="center" vertical="bottom" textRotation="0" wrapText="0" indent="0" justifyLastLine="0" shrinkToFit="0" readingOrder="0"/>
      <protection locked="1" hidden="0"/>
    </dxf>
    <dxf>
      <numFmt numFmtId="0" formatCode="General"/>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1" hidden="0"/>
    </dxf>
    <dxf>
      <alignment horizontal="center" vertical="bottom" textRotation="0" wrapText="0" indent="0" justifyLastLine="0" shrinkToFit="0" readingOrder="0"/>
      <border outline="0">
        <left style="hair">
          <color auto="1"/>
        </left>
      </border>
      <protection locked="1" hidden="0"/>
    </dxf>
    <dxf>
      <numFmt numFmtId="0" formatCode="General"/>
      <alignment horizontal="center" vertical="bottom" textRotation="0" wrapText="0" indent="0" justifyLastLine="0" shrinkToFit="0" readingOrder="0"/>
      <border outline="0">
        <left style="hair">
          <color auto="1"/>
        </left>
      </border>
      <protection locked="1" hidden="0"/>
    </dxf>
    <dxf>
      <numFmt numFmtId="0" formatCode="General"/>
      <alignment horizontal="center" vertical="bottom" textRotation="0" wrapText="0" indent="0" justifyLastLine="0" shrinkToFit="0" readingOrder="0"/>
      <border outline="0">
        <left style="hair">
          <color auto="1"/>
        </left>
        <right style="hair">
          <color auto="1"/>
        </right>
      </border>
      <protection locked="1" hidden="0"/>
    </dxf>
    <dxf>
      <numFmt numFmtId="0" formatCode="General"/>
      <alignment horizontal="center" vertical="bottom" textRotation="0" wrapText="0" indent="0" justifyLastLine="0" shrinkToFit="0" readingOrder="0"/>
      <border outline="0">
        <left style="hair">
          <color auto="1"/>
        </left>
        <right style="hair">
          <color auto="1"/>
        </right>
      </border>
      <protection locked="1" hidden="0"/>
    </dxf>
    <dxf>
      <numFmt numFmtId="0" formatCode="General"/>
      <alignment horizontal="center" vertical="bottom" textRotation="0" wrapText="0" indent="0" justifyLastLine="0" shrinkToFit="0" readingOrder="0"/>
      <border outline="0">
        <left style="hair">
          <color auto="1"/>
        </left>
        <right style="hair">
          <color auto="1"/>
        </right>
      </border>
      <protection locked="1" hidden="0"/>
    </dxf>
    <dxf>
      <numFmt numFmtId="0" formatCode="General"/>
      <alignment horizontal="center" vertical="bottom" textRotation="0" wrapText="0" indent="0" justifyLastLine="0" shrinkToFit="0" readingOrder="0"/>
      <border outline="0">
        <left style="hair">
          <color auto="1"/>
        </left>
        <right style="hair">
          <color auto="1"/>
        </right>
      </border>
      <protection locked="1" hidden="0"/>
    </dxf>
    <dxf>
      <numFmt numFmtId="0" formatCode="General"/>
      <alignment horizontal="center" vertical="bottom" textRotation="0" wrapText="0" indent="0" justifyLastLine="0" shrinkToFit="0" readingOrder="0"/>
      <border outline="0">
        <left style="hair">
          <color auto="1"/>
        </left>
        <right style="hair">
          <color auto="1"/>
        </right>
      </border>
      <protection locked="1" hidden="0"/>
    </dxf>
    <dxf>
      <numFmt numFmtId="0" formatCode="General"/>
      <alignment horizontal="center" vertical="bottom" textRotation="0" wrapText="0" indent="0" justifyLastLine="0" shrinkToFit="0" readingOrder="0"/>
      <border outline="0">
        <left style="hair">
          <color auto="1"/>
        </left>
        <right style="hair">
          <color auto="1"/>
        </right>
      </border>
      <protection locked="1" hidden="0"/>
    </dxf>
    <dxf>
      <numFmt numFmtId="0" formatCode="General"/>
      <alignment horizontal="center" vertical="bottom" textRotation="0" wrapText="0" indent="0" justifyLastLine="0" shrinkToFit="0" readingOrder="0"/>
      <border outline="0">
        <left style="hair">
          <color auto="1"/>
        </left>
        <right style="hair">
          <color auto="1"/>
        </right>
      </border>
      <protection locked="1" hidden="0"/>
    </dxf>
    <dxf>
      <numFmt numFmtId="0" formatCode="General"/>
      <alignment horizontal="center" vertical="bottom" textRotation="0" wrapText="0" indent="0" justifyLastLine="0" shrinkToFit="0" readingOrder="0"/>
      <border outline="0">
        <left style="hair">
          <color auto="1"/>
        </left>
        <right style="hair">
          <color auto="1"/>
        </right>
      </border>
      <protection locked="1" hidden="0"/>
    </dxf>
    <dxf>
      <numFmt numFmtId="0" formatCode="General"/>
      <alignment horizontal="center" vertical="bottom" textRotation="0" wrapText="0" indent="0" justifyLastLine="0" shrinkToFit="0" readingOrder="0"/>
      <border outline="0">
        <left style="hair">
          <color auto="1"/>
        </left>
        <right style="hair">
          <color auto="1"/>
        </right>
      </border>
      <protection locked="1" hidden="0"/>
    </dxf>
    <dxf>
      <numFmt numFmtId="0" formatCode="General"/>
      <alignment horizontal="center" vertical="bottom" textRotation="0" wrapText="0" indent="0" justifyLastLine="0" shrinkToFit="0" readingOrder="0"/>
      <border outline="0">
        <left style="hair">
          <color auto="1"/>
        </left>
        <right style="hair">
          <color auto="1"/>
        </right>
      </border>
      <protection locked="1" hidden="0"/>
    </dxf>
    <dxf>
      <numFmt numFmtId="0" formatCode="General"/>
      <alignment horizontal="center" vertical="bottom" textRotation="0" wrapText="0" indent="0" justifyLastLine="0" shrinkToFit="0" readingOrder="0"/>
      <border outline="0">
        <left style="hair">
          <color auto="1"/>
        </left>
        <right style="hair">
          <color auto="1"/>
        </right>
      </border>
      <protection locked="1" hidden="0"/>
    </dxf>
    <dxf>
      <numFmt numFmtId="0" formatCode="General"/>
      <alignment horizontal="center" vertical="bottom" textRotation="0" wrapText="0" indent="0" justifyLastLine="0" shrinkToFit="0" readingOrder="0"/>
      <border outline="0">
        <left style="hair">
          <color auto="1"/>
        </left>
        <right style="hair">
          <color auto="1"/>
        </right>
      </border>
      <protection locked="1" hidden="0"/>
    </dxf>
    <dxf>
      <numFmt numFmtId="0" formatCode="General"/>
      <alignment horizontal="center" vertical="bottom" textRotation="0" wrapText="0" indent="0" justifyLastLine="0" shrinkToFit="0" readingOrder="0"/>
      <border outline="0">
        <right style="hair">
          <color auto="1"/>
        </right>
      </border>
      <protection locked="1" hidden="0"/>
    </dxf>
    <dxf>
      <numFmt numFmtId="0" formatCode="General"/>
      <alignment horizontal="general" vertical="bottom" textRotation="0" wrapText="0" indent="0" justifyLastLine="0" shrinkToFit="0" readingOrder="0"/>
      <border diagonalUp="0" diagonalDown="0">
        <left style="hair">
          <color auto="1"/>
        </left>
        <right style="hair">
          <color auto="1"/>
        </right>
        <top style="hair">
          <color auto="1"/>
        </top>
        <bottom style="hair">
          <color auto="1"/>
        </bottom>
        <vertical/>
        <horizontal/>
      </border>
      <protection locked="1" hidden="0"/>
    </dxf>
    <dxf>
      <numFmt numFmtId="0" formatCode="General"/>
      <alignment horizontal="general" vertical="bottom" textRotation="0" wrapText="0" indent="0" justifyLastLine="0" shrinkToFit="0" readingOrder="0"/>
      <border diagonalUp="0" diagonalDown="0">
        <left style="hair">
          <color auto="1"/>
        </left>
        <right style="hair">
          <color auto="1"/>
        </right>
        <top style="hair">
          <color auto="1"/>
        </top>
        <bottom style="hair">
          <color auto="1"/>
        </bottom>
        <vertical/>
        <horizontal/>
      </border>
      <protection locked="1" hidden="0"/>
    </dxf>
    <dxf>
      <numFmt numFmtId="0" formatCode="General"/>
      <alignment horizontal="general" vertical="bottom" textRotation="0" wrapText="0" indent="0" justifyLastLine="0" shrinkToFit="0" readingOrder="0"/>
      <border diagonalUp="0" diagonalDown="0">
        <left style="hair">
          <color auto="1"/>
        </left>
        <right style="hair">
          <color auto="1"/>
        </right>
        <top style="hair">
          <color auto="1"/>
        </top>
        <bottom style="hair">
          <color auto="1"/>
        </bottom>
        <vertical/>
        <horizontal/>
      </border>
      <protection locked="1" hidden="0"/>
    </dxf>
    <dxf>
      <numFmt numFmtId="0" formatCode="General"/>
      <alignment horizontal="general" vertical="bottom" textRotation="0" wrapText="0" indent="0" justifyLastLine="0" shrinkToFit="0" readingOrder="0"/>
      <protection locked="1" hidden="0"/>
    </dxf>
    <dxf>
      <border outline="0">
        <bottom style="hair">
          <color auto="1"/>
        </bottom>
      </border>
    </dxf>
    <dxf>
      <alignment horizontal="center" vertical="bottom" textRotation="0" wrapText="0" indent="0" justifyLastLine="0" shrinkToFit="0" readingOrder="0"/>
      <protection locked="1" hidden="0"/>
    </dxf>
    <dxf>
      <protection locked="1" hidden="0"/>
    </dxf>
    <dxf>
      <font>
        <color theme="0"/>
      </font>
      <fill>
        <patternFill>
          <bgColor theme="0"/>
        </patternFill>
      </fill>
      <border>
        <left/>
        <right/>
        <top/>
        <bottom/>
        <vertical/>
        <horizontal/>
      </border>
    </dxf>
    <dxf>
      <fill>
        <patternFill>
          <bgColor rgb="FFFFFF00"/>
        </patternFill>
      </fill>
    </dxf>
    <dxf>
      <font>
        <color rgb="FF035C4E"/>
      </font>
      <fill>
        <patternFill>
          <bgColor rgb="FF035C4E"/>
        </patternFill>
      </fill>
      <border>
        <left/>
        <right/>
        <top/>
        <bottom/>
        <vertical/>
        <horizontal/>
      </border>
    </dxf>
    <dxf>
      <font>
        <color rgb="FF035C4E"/>
      </font>
      <fill>
        <patternFill>
          <bgColor rgb="FF035C4E"/>
        </patternFill>
      </fill>
      <border>
        <left/>
        <right/>
        <top/>
        <bottom/>
        <vertical/>
        <horizontal/>
      </border>
    </dxf>
    <dxf>
      <font>
        <color rgb="FF035C4E"/>
      </font>
      <fill>
        <patternFill>
          <bgColor rgb="FF035C4E"/>
        </patternFill>
      </fill>
      <border>
        <left/>
        <right/>
        <top/>
        <bottom/>
        <vertical/>
        <horizontal/>
      </border>
    </dxf>
    <dxf>
      <font>
        <b/>
        <i val="0"/>
        <color rgb="FFC00000"/>
      </font>
      <fill>
        <patternFill patternType="none">
          <bgColor auto="1"/>
        </patternFill>
      </fill>
      <border>
        <left/>
        <right/>
        <top/>
        <bottom/>
        <vertical/>
        <horizontal/>
      </border>
    </dxf>
    <dxf>
      <border outline="0">
        <bottom style="hair">
          <color auto="1"/>
        </bottom>
      </border>
    </dxf>
    <dxf>
      <numFmt numFmtId="0" formatCode="General"/>
      <alignment horizontal="general" vertical="bottom" textRotation="0" wrapText="0" indent="0" justifyLastLine="0" shrinkToFit="0" readingOrder="0"/>
      <border diagonalUp="0" diagonalDown="0">
        <left style="hair">
          <color auto="1"/>
        </left>
        <right style="hair">
          <color auto="1"/>
        </right>
        <top style="hair">
          <color auto="1"/>
        </top>
        <bottom/>
        <vertical/>
        <horizontal/>
      </border>
    </dxf>
    <dxf>
      <numFmt numFmtId="0" formatCode="General"/>
      <alignment horizontal="general" vertical="bottom" textRotation="0" wrapText="0" indent="0" justifyLastLine="0" shrinkToFit="0" readingOrder="0"/>
      <border diagonalUp="0" diagonalDown="0">
        <left style="hair">
          <color auto="1"/>
        </left>
        <right style="hair">
          <color auto="1"/>
        </right>
        <top style="hair">
          <color auto="1"/>
        </top>
        <bottom/>
        <vertical/>
        <horizontal/>
      </border>
    </dxf>
    <dxf>
      <numFmt numFmtId="0" formatCode="General"/>
      <alignment horizontal="general" vertical="bottom" textRotation="0" wrapText="0" indent="0" justifyLastLine="0" shrinkToFit="0" readingOrder="0"/>
      <border diagonalUp="0" diagonalDown="0">
        <left style="hair">
          <color auto="1"/>
        </left>
        <right style="hair">
          <color auto="1"/>
        </right>
        <top style="hair">
          <color auto="1"/>
        </top>
        <bottom/>
        <vertical/>
        <horizontal/>
      </border>
    </dxf>
    <dxf>
      <numFmt numFmtId="0" formatCode="General"/>
      <alignment horizontal="general" vertical="bottom" textRotation="0" wrapText="0" indent="0" justifyLastLine="0" shrinkToFit="0" readingOrder="0"/>
      <border diagonalUp="0" diagonalDown="0">
        <left style="hair">
          <color auto="1"/>
        </left>
        <right style="hair">
          <color auto="1"/>
        </right>
        <top style="hair">
          <color auto="1"/>
        </top>
        <bottom/>
        <vertical/>
        <horizontal/>
      </border>
    </dxf>
    <dxf>
      <border outline="0">
        <bottom style="hair">
          <color auto="1"/>
        </bottom>
      </border>
    </dxf>
    <dxf>
      <alignment horizontal="general" vertical="bottom" textRotation="0" wrapText="0" indent="0" justifyLastLine="0" shrinkToFit="0" readingOrder="0"/>
    </dxf>
    <dxf>
      <alignment textRotation="0" wrapText="1" indent="0" justifyLastLine="0" shrinkToFit="0" readingOrder="0"/>
    </dxf>
    <dxf>
      <numFmt numFmtId="30" formatCode="@"/>
      <alignment horizontal="center" vertical="bottom" textRotation="0" wrapText="0" indent="0" justifyLastLine="0" shrinkToFit="0" readingOrder="0"/>
      <border outline="0">
        <left style="hair">
          <color auto="1"/>
        </left>
      </border>
    </dxf>
    <dxf>
      <numFmt numFmtId="30" formatCode="@"/>
      <alignment horizontal="center" vertical="bottom" textRotation="0" wrapText="0" indent="0" justifyLastLine="0" shrinkToFit="0" readingOrder="0"/>
      <border outline="0">
        <left style="hair">
          <color auto="1"/>
        </left>
        <right style="hair">
          <color auto="1"/>
        </right>
      </border>
    </dxf>
    <dxf>
      <numFmt numFmtId="30" formatCode="@"/>
      <alignment horizontal="general" vertical="bottom" textRotation="0" wrapText="0" indent="0" justifyLastLine="0" shrinkToFit="0" readingOrder="0"/>
      <border outline="0">
        <left style="hair">
          <color auto="1"/>
        </left>
        <right style="hair">
          <color auto="1"/>
        </right>
      </border>
    </dxf>
    <dxf>
      <numFmt numFmtId="30" formatCode="@"/>
      <alignment horizontal="center" vertical="bottom" textRotation="0" wrapText="0" indent="0" justifyLastLine="0" shrinkToFit="0" readingOrder="0"/>
      <border outline="0">
        <left style="hair">
          <color auto="1"/>
        </left>
        <right style="hair">
          <color auto="1"/>
        </right>
      </border>
    </dxf>
    <dxf>
      <numFmt numFmtId="1" formatCode="0"/>
      <alignment horizontal="center" vertical="bottom" textRotation="0" wrapText="0" indent="0" justifyLastLine="0" shrinkToFit="0" readingOrder="0"/>
      <border outline="0">
        <left style="hair">
          <color auto="1"/>
        </left>
        <right style="hair">
          <color auto="1"/>
        </right>
      </border>
    </dxf>
    <dxf>
      <numFmt numFmtId="0" formatCode="General"/>
      <alignment horizontal="center" vertical="bottom" textRotation="0" wrapText="0" indent="0" justifyLastLine="0" shrinkToFit="0" readingOrder="0"/>
      <border outline="0">
        <left style="hair">
          <color auto="1"/>
        </left>
        <right style="hair">
          <color auto="1"/>
        </right>
      </border>
    </dxf>
    <dxf>
      <numFmt numFmtId="0" formatCode="General"/>
      <alignment horizontal="center" vertical="bottom" textRotation="0" wrapText="0" indent="0" justifyLastLine="0" shrinkToFit="0" readingOrder="0"/>
      <border outline="0">
        <left style="hair">
          <color auto="1"/>
        </left>
        <right style="hair">
          <color auto="1"/>
        </right>
      </border>
    </dxf>
    <dxf>
      <numFmt numFmtId="0" formatCode="General"/>
      <alignment horizontal="center" vertical="bottom" textRotation="0" wrapText="0" indent="0" justifyLastLine="0" shrinkToFit="0" readingOrder="0"/>
      <border outline="0">
        <left style="hair">
          <color auto="1"/>
        </left>
        <right style="hair">
          <color auto="1"/>
        </right>
      </border>
    </dxf>
    <dxf>
      <numFmt numFmtId="0" formatCode="General"/>
      <alignment horizontal="center" vertical="bottom" textRotation="0" wrapText="0" indent="0" justifyLastLine="0" shrinkToFit="0" readingOrder="0"/>
      <border outline="0">
        <left style="hair">
          <color auto="1"/>
        </left>
        <right style="hair">
          <color auto="1"/>
        </right>
      </border>
    </dxf>
    <dxf>
      <numFmt numFmtId="0" formatCode="General"/>
      <alignment horizontal="center" vertical="bottom" textRotation="0" wrapText="0" indent="0" justifyLastLine="0" shrinkToFit="0" readingOrder="0"/>
      <border outline="0">
        <left style="hair">
          <color auto="1"/>
        </left>
        <right style="hair">
          <color auto="1"/>
        </right>
      </border>
    </dxf>
    <dxf>
      <numFmt numFmtId="0" formatCode="General"/>
      <alignment horizontal="center" vertical="bottom" textRotation="0" wrapText="0" indent="0" justifyLastLine="0" shrinkToFit="0" readingOrder="0"/>
      <border outline="0">
        <left style="hair">
          <color auto="1"/>
        </left>
        <right style="hair">
          <color auto="1"/>
        </right>
      </border>
    </dxf>
    <dxf>
      <numFmt numFmtId="0" formatCode="General"/>
      <alignment horizontal="center" vertical="bottom" textRotation="0" wrapText="0" indent="0" justifyLastLine="0" shrinkToFit="0" readingOrder="0"/>
      <border outline="0">
        <left style="hair">
          <color auto="1"/>
        </left>
        <right style="hair">
          <color auto="1"/>
        </right>
      </border>
    </dxf>
    <dxf>
      <numFmt numFmtId="0" formatCode="General"/>
      <alignment horizontal="center" vertical="bottom" textRotation="0" wrapText="0" indent="0" justifyLastLine="0" shrinkToFit="0" readingOrder="0"/>
      <border outline="0">
        <left style="hair">
          <color auto="1"/>
        </left>
        <right style="hair">
          <color auto="1"/>
        </right>
      </border>
    </dxf>
    <dxf>
      <numFmt numFmtId="0" formatCode="General"/>
      <alignment horizontal="center" vertical="bottom" textRotation="0" wrapText="0" indent="0" justifyLastLine="0" shrinkToFit="0" readingOrder="0"/>
      <border outline="0">
        <left style="hair">
          <color auto="1"/>
        </left>
        <right style="hair">
          <color auto="1"/>
        </right>
      </border>
    </dxf>
    <dxf>
      <numFmt numFmtId="0" formatCode="General"/>
      <alignment horizontal="center" vertical="bottom" textRotation="0" wrapText="0" indent="0" justifyLastLine="0" shrinkToFit="0" readingOrder="0"/>
      <border outline="0">
        <left style="hair">
          <color auto="1"/>
        </left>
        <right style="hair">
          <color auto="1"/>
        </right>
      </border>
    </dxf>
    <dxf>
      <numFmt numFmtId="0" formatCode="General"/>
      <alignment horizontal="center" vertical="bottom" textRotation="0" wrapText="0" indent="0" justifyLastLine="0" shrinkToFit="0" readingOrder="0"/>
      <border outline="0">
        <left style="hair">
          <color auto="1"/>
        </left>
        <right style="hair">
          <color auto="1"/>
        </right>
      </border>
    </dxf>
    <dxf>
      <numFmt numFmtId="0" formatCode="General"/>
      <alignment horizontal="center" vertical="bottom" textRotation="0" wrapText="0" indent="0" justifyLastLine="0" shrinkToFit="0" readingOrder="0"/>
      <border outline="0">
        <left style="hair">
          <color auto="1"/>
        </left>
        <right style="hair">
          <color auto="1"/>
        </right>
      </border>
    </dxf>
    <dxf>
      <numFmt numFmtId="0" formatCode="General"/>
      <alignment horizontal="center" vertical="bottom" textRotation="0" wrapText="0" indent="0" justifyLastLine="0" shrinkToFit="0" readingOrder="0"/>
      <border outline="0">
        <right style="hair">
          <color auto="1"/>
        </right>
      </border>
    </dxf>
    <dxf>
      <numFmt numFmtId="30" formatCode="@"/>
      <alignment horizontal="general" vertical="bottom" textRotation="0" wrapText="0" indent="0" justifyLastLine="0" shrinkToFit="0" readingOrder="0"/>
      <border outline="0">
        <right style="hair">
          <color auto="1"/>
        </right>
      </border>
    </dxf>
    <dxf>
      <border outline="0">
        <bottom style="hair">
          <color auto="1"/>
        </bottom>
      </border>
    </dxf>
    <dxf>
      <alignment horizontal="general" vertical="bottom"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rgb="FF035C4E"/>
        </patternFill>
      </fill>
      <alignment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1" indent="0" justifyLastLine="0" shrinkToFit="0" readingOrder="0"/>
    </dxf>
    <dxf>
      <alignment horizontal="general" vertical="bottom" textRotation="0" wrapText="0" indent="0" justifyLastLine="0" shrinkToFit="0" readingOrder="0"/>
      <border diagonalUp="0" diagonalDown="0">
        <left style="hair">
          <color auto="1"/>
        </left>
        <right style="hair">
          <color auto="1"/>
        </right>
        <top style="hair">
          <color auto="1"/>
        </top>
        <bottom/>
        <vertical/>
        <horizontal/>
      </border>
    </dxf>
    <dxf>
      <alignment horizontal="general" vertical="bottom" textRotation="0" wrapText="0" indent="0" justifyLastLine="0" shrinkToFit="0" readingOrder="0"/>
      <border diagonalUp="0" diagonalDown="0">
        <left style="hair">
          <color auto="1"/>
        </left>
        <right style="hair">
          <color auto="1"/>
        </right>
        <top style="hair">
          <color auto="1"/>
        </top>
        <bottom/>
        <vertical/>
        <horizontal/>
      </border>
    </dxf>
    <dxf>
      <alignment horizontal="general" vertical="bottom" textRotation="0" wrapText="0" indent="0" justifyLastLine="0" shrinkToFit="0" readingOrder="0"/>
      <border diagonalUp="0" diagonalDown="0">
        <left style="hair">
          <color auto="1"/>
        </left>
        <right style="hair">
          <color auto="1"/>
        </right>
        <top style="hair">
          <color auto="1"/>
        </top>
        <bottom/>
        <vertical/>
        <horizontal/>
      </border>
    </dxf>
    <dxf>
      <alignment horizontal="general" vertical="bottom" textRotation="0" wrapText="0" indent="0" justifyLastLine="0" shrinkToFit="0" readingOrder="0"/>
      <border diagonalUp="0" diagonalDown="0">
        <left style="hair">
          <color auto="1"/>
        </left>
        <right style="hair">
          <color auto="1"/>
        </right>
        <top style="hair">
          <color auto="1"/>
        </top>
        <bottom/>
        <vertical/>
        <horizontal/>
      </border>
    </dxf>
    <dxf>
      <alignment horizontal="general" vertical="bottom" textRotation="0" wrapText="0" indent="0" justifyLastLine="0" shrinkToFit="0" readingOrder="0"/>
      <border diagonalUp="0" diagonalDown="0">
        <left style="hair">
          <color auto="1"/>
        </left>
        <right style="hair">
          <color auto="1"/>
        </right>
        <top style="hair">
          <color auto="1"/>
        </top>
        <bottom/>
        <vertical/>
        <horizontal/>
      </border>
    </dxf>
    <dxf>
      <alignment horizontal="general" vertical="bottom" textRotation="0" wrapText="0" indent="0" justifyLastLine="0" shrinkToFit="0" readingOrder="0"/>
      <border diagonalUp="0" diagonalDown="0">
        <left style="hair">
          <color auto="1"/>
        </left>
        <right style="hair">
          <color auto="1"/>
        </right>
        <top style="hair">
          <color auto="1"/>
        </top>
        <bottom/>
        <vertical/>
        <horizontal/>
      </border>
    </dxf>
    <dxf>
      <alignment horizontal="general" vertical="bottom" textRotation="0" wrapText="0" indent="0" justifyLastLine="0" shrinkToFit="0" readingOrder="0"/>
      <border diagonalUp="0" diagonalDown="0" outline="0">
        <left style="hair">
          <color auto="1"/>
        </left>
        <right style="hair">
          <color auto="1"/>
        </right>
        <top style="hair">
          <color auto="1"/>
        </top>
        <bottom/>
      </border>
    </dxf>
    <dxf>
      <numFmt numFmtId="1" formatCode="0"/>
      <alignment horizontal="general" vertical="bottom" textRotation="0" wrapText="0" indent="0" justifyLastLine="0" shrinkToFit="0" readingOrder="0"/>
    </dxf>
    <dxf>
      <border outline="0">
        <bottom style="hair">
          <color auto="1"/>
        </bottom>
      </border>
    </dxf>
    <dxf>
      <alignment horizontal="general" vertical="bottom" textRotation="0" wrapText="0" indent="0" justifyLastLine="0" shrinkToFit="0" readingOrder="0"/>
    </dxf>
    <dxf>
      <alignment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bottom style="hair">
          <color auto="1"/>
        </bottom>
      </border>
    </dxf>
    <dxf>
      <alignment horizontal="general" vertical="bottom" textRotation="0" wrapText="0" indent="0" justifyLastLine="0" shrinkToFit="0" readingOrder="0"/>
    </dxf>
    <dxf>
      <alignment textRotation="0" wrapText="1"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border outline="0">
        <bottom style="hair">
          <color auto="1"/>
        </bottom>
      </border>
    </dxf>
    <dxf>
      <alignment horizontal="general" vertical="bottom" textRotation="0" wrapText="0" indent="0" justifyLastLine="0" shrinkToFit="0" readingOrder="0"/>
    </dxf>
    <dxf>
      <alignment horizontal="general" vertical="bottom" textRotation="0" wrapText="0" indent="0" justifyLastLine="0" shrinkToFit="0" readingOrder="0"/>
    </dxf>
    <dxf>
      <font>
        <strike val="0"/>
        <outline val="0"/>
        <shadow val="0"/>
        <u val="none"/>
        <vertAlign val="baseline"/>
        <sz val="11"/>
        <color auto="1"/>
        <name val="Calibri"/>
        <scheme val="minor"/>
      </font>
      <fill>
        <patternFill patternType="solid">
          <fgColor indexed="64"/>
          <bgColor rgb="FFFFFF00"/>
        </patternFill>
      </fill>
      <alignment horizontal="general" vertical="bottom" textRotation="0" wrapText="0" indent="0" justifyLastLine="0" shrinkToFit="0" readingOrder="0"/>
      <border outline="0">
        <left style="hair">
          <color auto="1"/>
        </left>
      </border>
    </dxf>
    <dxf>
      <font>
        <strike val="0"/>
        <outline val="0"/>
        <shadow val="0"/>
        <u val="none"/>
        <vertAlign val="baseline"/>
        <sz val="11"/>
        <color auto="1"/>
        <name val="Calibri"/>
        <scheme val="minor"/>
      </font>
      <fill>
        <patternFill patternType="solid">
          <fgColor indexed="64"/>
          <bgColor rgb="FFFFFF00"/>
        </patternFill>
      </fill>
      <alignment horizontal="general" vertical="bottom" textRotation="0" wrapText="0" indent="0" justifyLastLine="0" shrinkToFit="0" readingOrder="0"/>
      <border outline="0">
        <right style="hair">
          <color auto="1"/>
        </right>
      </border>
    </dxf>
    <dxf>
      <alignment horizontal="general" vertical="bottom" textRotation="0" wrapText="0" indent="0" justifyLastLine="0" shrinkToFit="0" readingOrder="0"/>
      <border outline="0">
        <right style="hair">
          <color auto="1"/>
        </right>
      </border>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s>
  <tableStyles count="0" defaultTableStyle="TableStyleMedium2" defaultPivotStyle="PivotStyleLight16"/>
  <colors>
    <mruColors>
      <color rgb="FFFFFF99"/>
      <color rgb="FF035C4E"/>
      <color rgb="FF00FF99"/>
      <color rgb="FF66FF99"/>
      <color rgb="FFA7BF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r:id="rId1"/>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Baseline scenario: Aggregate asset mix over life cycle</a:t>
            </a:r>
          </a:p>
        </c:rich>
      </c:tx>
      <c:overlay val="0"/>
    </c:title>
    <c:autoTitleDeleted val="0"/>
    <c:plotArea>
      <c:layout/>
      <c:areaChart>
        <c:grouping val="percentStacked"/>
        <c:varyColors val="0"/>
        <c:ser>
          <c:idx val="1"/>
          <c:order val="0"/>
          <c:tx>
            <c:strRef>
              <c:f>'7.1 Report Member 35y YTR'!$G$95</c:f>
              <c:strCache>
                <c:ptCount val="1"/>
                <c:pt idx="0">
                  <c:v>Equities</c:v>
                </c:pt>
              </c:strCache>
            </c:strRef>
          </c:tx>
          <c:cat>
            <c:numRef>
              <c:f>'7.1 Report Member 35y YTR'!$F$96:$F$131</c:f>
              <c:numCache>
                <c:formatCode>General</c:formatCode>
                <c:ptCount val="36"/>
                <c:pt idx="0">
                  <c:v>35</c:v>
                </c:pt>
                <c:pt idx="1">
                  <c:v>34</c:v>
                </c:pt>
                <c:pt idx="2">
                  <c:v>33</c:v>
                </c:pt>
                <c:pt idx="3">
                  <c:v>32</c:v>
                </c:pt>
                <c:pt idx="4">
                  <c:v>31</c:v>
                </c:pt>
                <c:pt idx="5">
                  <c:v>30</c:v>
                </c:pt>
                <c:pt idx="6">
                  <c:v>29</c:v>
                </c:pt>
                <c:pt idx="7">
                  <c:v>28</c:v>
                </c:pt>
                <c:pt idx="8">
                  <c:v>27</c:v>
                </c:pt>
                <c:pt idx="9">
                  <c:v>26</c:v>
                </c:pt>
                <c:pt idx="10">
                  <c:v>25</c:v>
                </c:pt>
                <c:pt idx="11">
                  <c:v>24</c:v>
                </c:pt>
                <c:pt idx="12">
                  <c:v>23</c:v>
                </c:pt>
                <c:pt idx="13">
                  <c:v>22</c:v>
                </c:pt>
                <c:pt idx="14">
                  <c:v>21</c:v>
                </c:pt>
                <c:pt idx="15">
                  <c:v>20</c:v>
                </c:pt>
                <c:pt idx="16">
                  <c:v>19</c:v>
                </c:pt>
                <c:pt idx="17">
                  <c:v>18</c:v>
                </c:pt>
                <c:pt idx="18">
                  <c:v>17</c:v>
                </c:pt>
                <c:pt idx="19">
                  <c:v>16</c:v>
                </c:pt>
                <c:pt idx="20">
                  <c:v>15</c:v>
                </c:pt>
                <c:pt idx="21">
                  <c:v>14</c:v>
                </c:pt>
                <c:pt idx="22">
                  <c:v>13</c:v>
                </c:pt>
                <c:pt idx="23">
                  <c:v>12</c:v>
                </c:pt>
                <c:pt idx="24">
                  <c:v>11</c:v>
                </c:pt>
                <c:pt idx="25">
                  <c:v>10</c:v>
                </c:pt>
                <c:pt idx="26">
                  <c:v>9</c:v>
                </c:pt>
                <c:pt idx="27">
                  <c:v>8</c:v>
                </c:pt>
                <c:pt idx="28">
                  <c:v>7</c:v>
                </c:pt>
                <c:pt idx="29">
                  <c:v>6</c:v>
                </c:pt>
                <c:pt idx="30">
                  <c:v>5</c:v>
                </c:pt>
                <c:pt idx="31">
                  <c:v>4</c:v>
                </c:pt>
                <c:pt idx="32">
                  <c:v>3</c:v>
                </c:pt>
                <c:pt idx="33">
                  <c:v>2</c:v>
                </c:pt>
                <c:pt idx="34">
                  <c:v>1</c:v>
                </c:pt>
                <c:pt idx="35">
                  <c:v>0</c:v>
                </c:pt>
              </c:numCache>
            </c:numRef>
          </c:cat>
          <c:val>
            <c:numRef>
              <c:f>'7.1 Report Member 35y YTR'!$G$96:$G$131</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2E29-47E9-923A-89B638198F34}"/>
            </c:ext>
          </c:extLst>
        </c:ser>
        <c:ser>
          <c:idx val="2"/>
          <c:order val="1"/>
          <c:tx>
            <c:strRef>
              <c:f>'7.1 Report Member 35y YTR'!$H$95</c:f>
              <c:strCache>
                <c:ptCount val="1"/>
                <c:pt idx="0">
                  <c:v>Real Estate</c:v>
                </c:pt>
              </c:strCache>
            </c:strRef>
          </c:tx>
          <c:cat>
            <c:numRef>
              <c:f>'7.1 Report Member 35y YTR'!$F$96:$F$131</c:f>
              <c:numCache>
                <c:formatCode>General</c:formatCode>
                <c:ptCount val="36"/>
                <c:pt idx="0">
                  <c:v>35</c:v>
                </c:pt>
                <c:pt idx="1">
                  <c:v>34</c:v>
                </c:pt>
                <c:pt idx="2">
                  <c:v>33</c:v>
                </c:pt>
                <c:pt idx="3">
                  <c:v>32</c:v>
                </c:pt>
                <c:pt idx="4">
                  <c:v>31</c:v>
                </c:pt>
                <c:pt idx="5">
                  <c:v>30</c:v>
                </c:pt>
                <c:pt idx="6">
                  <c:v>29</c:v>
                </c:pt>
                <c:pt idx="7">
                  <c:v>28</c:v>
                </c:pt>
                <c:pt idx="8">
                  <c:v>27</c:v>
                </c:pt>
                <c:pt idx="9">
                  <c:v>26</c:v>
                </c:pt>
                <c:pt idx="10">
                  <c:v>25</c:v>
                </c:pt>
                <c:pt idx="11">
                  <c:v>24</c:v>
                </c:pt>
                <c:pt idx="12">
                  <c:v>23</c:v>
                </c:pt>
                <c:pt idx="13">
                  <c:v>22</c:v>
                </c:pt>
                <c:pt idx="14">
                  <c:v>21</c:v>
                </c:pt>
                <c:pt idx="15">
                  <c:v>20</c:v>
                </c:pt>
                <c:pt idx="16">
                  <c:v>19</c:v>
                </c:pt>
                <c:pt idx="17">
                  <c:v>18</c:v>
                </c:pt>
                <c:pt idx="18">
                  <c:v>17</c:v>
                </c:pt>
                <c:pt idx="19">
                  <c:v>16</c:v>
                </c:pt>
                <c:pt idx="20">
                  <c:v>15</c:v>
                </c:pt>
                <c:pt idx="21">
                  <c:v>14</c:v>
                </c:pt>
                <c:pt idx="22">
                  <c:v>13</c:v>
                </c:pt>
                <c:pt idx="23">
                  <c:v>12</c:v>
                </c:pt>
                <c:pt idx="24">
                  <c:v>11</c:v>
                </c:pt>
                <c:pt idx="25">
                  <c:v>10</c:v>
                </c:pt>
                <c:pt idx="26">
                  <c:v>9</c:v>
                </c:pt>
                <c:pt idx="27">
                  <c:v>8</c:v>
                </c:pt>
                <c:pt idx="28">
                  <c:v>7</c:v>
                </c:pt>
                <c:pt idx="29">
                  <c:v>6</c:v>
                </c:pt>
                <c:pt idx="30">
                  <c:v>5</c:v>
                </c:pt>
                <c:pt idx="31">
                  <c:v>4</c:v>
                </c:pt>
                <c:pt idx="32">
                  <c:v>3</c:v>
                </c:pt>
                <c:pt idx="33">
                  <c:v>2</c:v>
                </c:pt>
                <c:pt idx="34">
                  <c:v>1</c:v>
                </c:pt>
                <c:pt idx="35">
                  <c:v>0</c:v>
                </c:pt>
              </c:numCache>
            </c:numRef>
          </c:cat>
          <c:val>
            <c:numRef>
              <c:f>'7.1 Report Member 35y YTR'!$H$96:$H$131</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1-2E29-47E9-923A-89B638198F34}"/>
            </c:ext>
          </c:extLst>
        </c:ser>
        <c:ser>
          <c:idx val="3"/>
          <c:order val="2"/>
          <c:tx>
            <c:strRef>
              <c:f>'7.1 Report Member 35y YTR'!$I$95</c:f>
              <c:strCache>
                <c:ptCount val="1"/>
                <c:pt idx="0">
                  <c:v>Alternatives</c:v>
                </c:pt>
              </c:strCache>
            </c:strRef>
          </c:tx>
          <c:cat>
            <c:numRef>
              <c:f>'7.1 Report Member 35y YTR'!$F$96:$F$131</c:f>
              <c:numCache>
                <c:formatCode>General</c:formatCode>
                <c:ptCount val="36"/>
                <c:pt idx="0">
                  <c:v>35</c:v>
                </c:pt>
                <c:pt idx="1">
                  <c:v>34</c:v>
                </c:pt>
                <c:pt idx="2">
                  <c:v>33</c:v>
                </c:pt>
                <c:pt idx="3">
                  <c:v>32</c:v>
                </c:pt>
                <c:pt idx="4">
                  <c:v>31</c:v>
                </c:pt>
                <c:pt idx="5">
                  <c:v>30</c:v>
                </c:pt>
                <c:pt idx="6">
                  <c:v>29</c:v>
                </c:pt>
                <c:pt idx="7">
                  <c:v>28</c:v>
                </c:pt>
                <c:pt idx="8">
                  <c:v>27</c:v>
                </c:pt>
                <c:pt idx="9">
                  <c:v>26</c:v>
                </c:pt>
                <c:pt idx="10">
                  <c:v>25</c:v>
                </c:pt>
                <c:pt idx="11">
                  <c:v>24</c:v>
                </c:pt>
                <c:pt idx="12">
                  <c:v>23</c:v>
                </c:pt>
                <c:pt idx="13">
                  <c:v>22</c:v>
                </c:pt>
                <c:pt idx="14">
                  <c:v>21</c:v>
                </c:pt>
                <c:pt idx="15">
                  <c:v>20</c:v>
                </c:pt>
                <c:pt idx="16">
                  <c:v>19</c:v>
                </c:pt>
                <c:pt idx="17">
                  <c:v>18</c:v>
                </c:pt>
                <c:pt idx="18">
                  <c:v>17</c:v>
                </c:pt>
                <c:pt idx="19">
                  <c:v>16</c:v>
                </c:pt>
                <c:pt idx="20">
                  <c:v>15</c:v>
                </c:pt>
                <c:pt idx="21">
                  <c:v>14</c:v>
                </c:pt>
                <c:pt idx="22">
                  <c:v>13</c:v>
                </c:pt>
                <c:pt idx="23">
                  <c:v>12</c:v>
                </c:pt>
                <c:pt idx="24">
                  <c:v>11</c:v>
                </c:pt>
                <c:pt idx="25">
                  <c:v>10</c:v>
                </c:pt>
                <c:pt idx="26">
                  <c:v>9</c:v>
                </c:pt>
                <c:pt idx="27">
                  <c:v>8</c:v>
                </c:pt>
                <c:pt idx="28">
                  <c:v>7</c:v>
                </c:pt>
                <c:pt idx="29">
                  <c:v>6</c:v>
                </c:pt>
                <c:pt idx="30">
                  <c:v>5</c:v>
                </c:pt>
                <c:pt idx="31">
                  <c:v>4</c:v>
                </c:pt>
                <c:pt idx="32">
                  <c:v>3</c:v>
                </c:pt>
                <c:pt idx="33">
                  <c:v>2</c:v>
                </c:pt>
                <c:pt idx="34">
                  <c:v>1</c:v>
                </c:pt>
                <c:pt idx="35">
                  <c:v>0</c:v>
                </c:pt>
              </c:numCache>
            </c:numRef>
          </c:cat>
          <c:val>
            <c:numRef>
              <c:f>'7.1 Report Member 35y YTR'!$I$96:$I$131</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2-2E29-47E9-923A-89B638198F34}"/>
            </c:ext>
          </c:extLst>
        </c:ser>
        <c:ser>
          <c:idx val="4"/>
          <c:order val="3"/>
          <c:tx>
            <c:strRef>
              <c:f>'7.1 Report Member 35y YTR'!$J$95</c:f>
              <c:strCache>
                <c:ptCount val="1"/>
                <c:pt idx="0">
                  <c:v>Fixed income</c:v>
                </c:pt>
              </c:strCache>
            </c:strRef>
          </c:tx>
          <c:cat>
            <c:numRef>
              <c:f>'7.1 Report Member 35y YTR'!$F$96:$F$131</c:f>
              <c:numCache>
                <c:formatCode>General</c:formatCode>
                <c:ptCount val="36"/>
                <c:pt idx="0">
                  <c:v>35</c:v>
                </c:pt>
                <c:pt idx="1">
                  <c:v>34</c:v>
                </c:pt>
                <c:pt idx="2">
                  <c:v>33</c:v>
                </c:pt>
                <c:pt idx="3">
                  <c:v>32</c:v>
                </c:pt>
                <c:pt idx="4">
                  <c:v>31</c:v>
                </c:pt>
                <c:pt idx="5">
                  <c:v>30</c:v>
                </c:pt>
                <c:pt idx="6">
                  <c:v>29</c:v>
                </c:pt>
                <c:pt idx="7">
                  <c:v>28</c:v>
                </c:pt>
                <c:pt idx="8">
                  <c:v>27</c:v>
                </c:pt>
                <c:pt idx="9">
                  <c:v>26</c:v>
                </c:pt>
                <c:pt idx="10">
                  <c:v>25</c:v>
                </c:pt>
                <c:pt idx="11">
                  <c:v>24</c:v>
                </c:pt>
                <c:pt idx="12">
                  <c:v>23</c:v>
                </c:pt>
                <c:pt idx="13">
                  <c:v>22</c:v>
                </c:pt>
                <c:pt idx="14">
                  <c:v>21</c:v>
                </c:pt>
                <c:pt idx="15">
                  <c:v>20</c:v>
                </c:pt>
                <c:pt idx="16">
                  <c:v>19</c:v>
                </c:pt>
                <c:pt idx="17">
                  <c:v>18</c:v>
                </c:pt>
                <c:pt idx="18">
                  <c:v>17</c:v>
                </c:pt>
                <c:pt idx="19">
                  <c:v>16</c:v>
                </c:pt>
                <c:pt idx="20">
                  <c:v>15</c:v>
                </c:pt>
                <c:pt idx="21">
                  <c:v>14</c:v>
                </c:pt>
                <c:pt idx="22">
                  <c:v>13</c:v>
                </c:pt>
                <c:pt idx="23">
                  <c:v>12</c:v>
                </c:pt>
                <c:pt idx="24">
                  <c:v>11</c:v>
                </c:pt>
                <c:pt idx="25">
                  <c:v>10</c:v>
                </c:pt>
                <c:pt idx="26">
                  <c:v>9</c:v>
                </c:pt>
                <c:pt idx="27">
                  <c:v>8</c:v>
                </c:pt>
                <c:pt idx="28">
                  <c:v>7</c:v>
                </c:pt>
                <c:pt idx="29">
                  <c:v>6</c:v>
                </c:pt>
                <c:pt idx="30">
                  <c:v>5</c:v>
                </c:pt>
                <c:pt idx="31">
                  <c:v>4</c:v>
                </c:pt>
                <c:pt idx="32">
                  <c:v>3</c:v>
                </c:pt>
                <c:pt idx="33">
                  <c:v>2</c:v>
                </c:pt>
                <c:pt idx="34">
                  <c:v>1</c:v>
                </c:pt>
                <c:pt idx="35">
                  <c:v>0</c:v>
                </c:pt>
              </c:numCache>
            </c:numRef>
          </c:cat>
          <c:val>
            <c:numRef>
              <c:f>'7.1 Report Member 35y YTR'!$J$96:$J$131</c:f>
              <c:numCache>
                <c:formatCode>0%</c:formatCode>
                <c:ptCount val="36"/>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numCache>
            </c:numRef>
          </c:val>
          <c:extLst>
            <c:ext xmlns:c16="http://schemas.microsoft.com/office/drawing/2014/chart" uri="{C3380CC4-5D6E-409C-BE32-E72D297353CC}">
              <c16:uniqueId val="{00000003-2E29-47E9-923A-89B638198F34}"/>
            </c:ext>
          </c:extLst>
        </c:ser>
        <c:dLbls>
          <c:showLegendKey val="0"/>
          <c:showVal val="0"/>
          <c:showCatName val="0"/>
          <c:showSerName val="0"/>
          <c:showPercent val="0"/>
          <c:showBubbleSize val="0"/>
        </c:dLbls>
        <c:axId val="105543552"/>
        <c:axId val="105545088"/>
      </c:areaChart>
      <c:catAx>
        <c:axId val="105543552"/>
        <c:scaling>
          <c:orientation val="minMax"/>
        </c:scaling>
        <c:delete val="0"/>
        <c:axPos val="b"/>
        <c:numFmt formatCode="General" sourceLinked="1"/>
        <c:majorTickMark val="none"/>
        <c:minorTickMark val="none"/>
        <c:tickLblPos val="nextTo"/>
        <c:crossAx val="105545088"/>
        <c:crosses val="autoZero"/>
        <c:auto val="1"/>
        <c:lblAlgn val="ctr"/>
        <c:lblOffset val="100"/>
        <c:noMultiLvlLbl val="0"/>
      </c:catAx>
      <c:valAx>
        <c:axId val="105545088"/>
        <c:scaling>
          <c:orientation val="minMax"/>
        </c:scaling>
        <c:delete val="0"/>
        <c:axPos val="l"/>
        <c:majorGridlines/>
        <c:numFmt formatCode="0%" sourceLinked="1"/>
        <c:majorTickMark val="none"/>
        <c:minorTickMark val="none"/>
        <c:tickLblPos val="nextTo"/>
        <c:crossAx val="105543552"/>
        <c:crosses val="autoZero"/>
        <c:crossBetween val="midCat"/>
      </c:valAx>
    </c:plotArea>
    <c:legend>
      <c:legendPos val="b"/>
      <c:overlay val="0"/>
    </c:legend>
    <c:plotVisOnly val="1"/>
    <c:dispBlanksAs val="zero"/>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Adverse scenario: Aggregate asset mix over life cycle</a:t>
            </a:r>
          </a:p>
        </c:rich>
      </c:tx>
      <c:overlay val="0"/>
    </c:title>
    <c:autoTitleDeleted val="0"/>
    <c:plotArea>
      <c:layout/>
      <c:areaChart>
        <c:grouping val="percentStacked"/>
        <c:varyColors val="0"/>
        <c:ser>
          <c:idx val="1"/>
          <c:order val="0"/>
          <c:tx>
            <c:strRef>
              <c:f>'7.1 Report Member 35y YTR'!$G$135</c:f>
              <c:strCache>
                <c:ptCount val="1"/>
                <c:pt idx="0">
                  <c:v>Equities</c:v>
                </c:pt>
              </c:strCache>
            </c:strRef>
          </c:tx>
          <c:cat>
            <c:numRef>
              <c:f>'7.1 Report Member 35y YTR'!$F$136:$F$171</c:f>
              <c:numCache>
                <c:formatCode>General</c:formatCode>
                <c:ptCount val="36"/>
                <c:pt idx="0">
                  <c:v>35</c:v>
                </c:pt>
                <c:pt idx="1">
                  <c:v>34</c:v>
                </c:pt>
                <c:pt idx="2">
                  <c:v>33</c:v>
                </c:pt>
                <c:pt idx="3">
                  <c:v>32</c:v>
                </c:pt>
                <c:pt idx="4">
                  <c:v>31</c:v>
                </c:pt>
                <c:pt idx="5">
                  <c:v>30</c:v>
                </c:pt>
                <c:pt idx="6">
                  <c:v>29</c:v>
                </c:pt>
                <c:pt idx="7">
                  <c:v>28</c:v>
                </c:pt>
                <c:pt idx="8">
                  <c:v>27</c:v>
                </c:pt>
                <c:pt idx="9">
                  <c:v>26</c:v>
                </c:pt>
                <c:pt idx="10">
                  <c:v>25</c:v>
                </c:pt>
                <c:pt idx="11">
                  <c:v>24</c:v>
                </c:pt>
                <c:pt idx="12">
                  <c:v>23</c:v>
                </c:pt>
                <c:pt idx="13">
                  <c:v>22</c:v>
                </c:pt>
                <c:pt idx="14">
                  <c:v>21</c:v>
                </c:pt>
                <c:pt idx="15">
                  <c:v>20</c:v>
                </c:pt>
                <c:pt idx="16">
                  <c:v>19</c:v>
                </c:pt>
                <c:pt idx="17">
                  <c:v>18</c:v>
                </c:pt>
                <c:pt idx="18">
                  <c:v>17</c:v>
                </c:pt>
                <c:pt idx="19">
                  <c:v>16</c:v>
                </c:pt>
                <c:pt idx="20">
                  <c:v>15</c:v>
                </c:pt>
                <c:pt idx="21">
                  <c:v>14</c:v>
                </c:pt>
                <c:pt idx="22">
                  <c:v>13</c:v>
                </c:pt>
                <c:pt idx="23">
                  <c:v>12</c:v>
                </c:pt>
                <c:pt idx="24">
                  <c:v>11</c:v>
                </c:pt>
                <c:pt idx="25">
                  <c:v>10</c:v>
                </c:pt>
                <c:pt idx="26">
                  <c:v>9</c:v>
                </c:pt>
                <c:pt idx="27">
                  <c:v>8</c:v>
                </c:pt>
                <c:pt idx="28">
                  <c:v>7</c:v>
                </c:pt>
                <c:pt idx="29">
                  <c:v>6</c:v>
                </c:pt>
                <c:pt idx="30">
                  <c:v>5</c:v>
                </c:pt>
                <c:pt idx="31">
                  <c:v>4</c:v>
                </c:pt>
                <c:pt idx="32">
                  <c:v>3</c:v>
                </c:pt>
                <c:pt idx="33">
                  <c:v>2</c:v>
                </c:pt>
                <c:pt idx="34">
                  <c:v>1</c:v>
                </c:pt>
                <c:pt idx="35">
                  <c:v>0</c:v>
                </c:pt>
              </c:numCache>
            </c:numRef>
          </c:cat>
          <c:val>
            <c:numRef>
              <c:f>'7.1 Report Member 35y YTR'!$G$136:$G$171</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2E29-47E9-923A-89B638198F34}"/>
            </c:ext>
          </c:extLst>
        </c:ser>
        <c:ser>
          <c:idx val="2"/>
          <c:order val="1"/>
          <c:tx>
            <c:strRef>
              <c:f>'7.1 Report Member 35y YTR'!$H$135</c:f>
              <c:strCache>
                <c:ptCount val="1"/>
                <c:pt idx="0">
                  <c:v>Real Estate</c:v>
                </c:pt>
              </c:strCache>
            </c:strRef>
          </c:tx>
          <c:cat>
            <c:numRef>
              <c:f>'7.1 Report Member 35y YTR'!$F$136:$F$171</c:f>
              <c:numCache>
                <c:formatCode>General</c:formatCode>
                <c:ptCount val="36"/>
                <c:pt idx="0">
                  <c:v>35</c:v>
                </c:pt>
                <c:pt idx="1">
                  <c:v>34</c:v>
                </c:pt>
                <c:pt idx="2">
                  <c:v>33</c:v>
                </c:pt>
                <c:pt idx="3">
                  <c:v>32</c:v>
                </c:pt>
                <c:pt idx="4">
                  <c:v>31</c:v>
                </c:pt>
                <c:pt idx="5">
                  <c:v>30</c:v>
                </c:pt>
                <c:pt idx="6">
                  <c:v>29</c:v>
                </c:pt>
                <c:pt idx="7">
                  <c:v>28</c:v>
                </c:pt>
                <c:pt idx="8">
                  <c:v>27</c:v>
                </c:pt>
                <c:pt idx="9">
                  <c:v>26</c:v>
                </c:pt>
                <c:pt idx="10">
                  <c:v>25</c:v>
                </c:pt>
                <c:pt idx="11">
                  <c:v>24</c:v>
                </c:pt>
                <c:pt idx="12">
                  <c:v>23</c:v>
                </c:pt>
                <c:pt idx="13">
                  <c:v>22</c:v>
                </c:pt>
                <c:pt idx="14">
                  <c:v>21</c:v>
                </c:pt>
                <c:pt idx="15">
                  <c:v>20</c:v>
                </c:pt>
                <c:pt idx="16">
                  <c:v>19</c:v>
                </c:pt>
                <c:pt idx="17">
                  <c:v>18</c:v>
                </c:pt>
                <c:pt idx="18">
                  <c:v>17</c:v>
                </c:pt>
                <c:pt idx="19">
                  <c:v>16</c:v>
                </c:pt>
                <c:pt idx="20">
                  <c:v>15</c:v>
                </c:pt>
                <c:pt idx="21">
                  <c:v>14</c:v>
                </c:pt>
                <c:pt idx="22">
                  <c:v>13</c:v>
                </c:pt>
                <c:pt idx="23">
                  <c:v>12</c:v>
                </c:pt>
                <c:pt idx="24">
                  <c:v>11</c:v>
                </c:pt>
                <c:pt idx="25">
                  <c:v>10</c:v>
                </c:pt>
                <c:pt idx="26">
                  <c:v>9</c:v>
                </c:pt>
                <c:pt idx="27">
                  <c:v>8</c:v>
                </c:pt>
                <c:pt idx="28">
                  <c:v>7</c:v>
                </c:pt>
                <c:pt idx="29">
                  <c:v>6</c:v>
                </c:pt>
                <c:pt idx="30">
                  <c:v>5</c:v>
                </c:pt>
                <c:pt idx="31">
                  <c:v>4</c:v>
                </c:pt>
                <c:pt idx="32">
                  <c:v>3</c:v>
                </c:pt>
                <c:pt idx="33">
                  <c:v>2</c:v>
                </c:pt>
                <c:pt idx="34">
                  <c:v>1</c:v>
                </c:pt>
                <c:pt idx="35">
                  <c:v>0</c:v>
                </c:pt>
              </c:numCache>
            </c:numRef>
          </c:cat>
          <c:val>
            <c:numRef>
              <c:f>'7.1 Report Member 35y YTR'!$H$136:$H$171</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1-2E29-47E9-923A-89B638198F34}"/>
            </c:ext>
          </c:extLst>
        </c:ser>
        <c:ser>
          <c:idx val="3"/>
          <c:order val="2"/>
          <c:tx>
            <c:strRef>
              <c:f>'7.1 Report Member 35y YTR'!$I$135</c:f>
              <c:strCache>
                <c:ptCount val="1"/>
                <c:pt idx="0">
                  <c:v>Alternatives</c:v>
                </c:pt>
              </c:strCache>
            </c:strRef>
          </c:tx>
          <c:cat>
            <c:numRef>
              <c:f>'7.1 Report Member 35y YTR'!$F$136:$F$171</c:f>
              <c:numCache>
                <c:formatCode>General</c:formatCode>
                <c:ptCount val="36"/>
                <c:pt idx="0">
                  <c:v>35</c:v>
                </c:pt>
                <c:pt idx="1">
                  <c:v>34</c:v>
                </c:pt>
                <c:pt idx="2">
                  <c:v>33</c:v>
                </c:pt>
                <c:pt idx="3">
                  <c:v>32</c:v>
                </c:pt>
                <c:pt idx="4">
                  <c:v>31</c:v>
                </c:pt>
                <c:pt idx="5">
                  <c:v>30</c:v>
                </c:pt>
                <c:pt idx="6">
                  <c:v>29</c:v>
                </c:pt>
                <c:pt idx="7">
                  <c:v>28</c:v>
                </c:pt>
                <c:pt idx="8">
                  <c:v>27</c:v>
                </c:pt>
                <c:pt idx="9">
                  <c:v>26</c:v>
                </c:pt>
                <c:pt idx="10">
                  <c:v>25</c:v>
                </c:pt>
                <c:pt idx="11">
                  <c:v>24</c:v>
                </c:pt>
                <c:pt idx="12">
                  <c:v>23</c:v>
                </c:pt>
                <c:pt idx="13">
                  <c:v>22</c:v>
                </c:pt>
                <c:pt idx="14">
                  <c:v>21</c:v>
                </c:pt>
                <c:pt idx="15">
                  <c:v>20</c:v>
                </c:pt>
                <c:pt idx="16">
                  <c:v>19</c:v>
                </c:pt>
                <c:pt idx="17">
                  <c:v>18</c:v>
                </c:pt>
                <c:pt idx="18">
                  <c:v>17</c:v>
                </c:pt>
                <c:pt idx="19">
                  <c:v>16</c:v>
                </c:pt>
                <c:pt idx="20">
                  <c:v>15</c:v>
                </c:pt>
                <c:pt idx="21">
                  <c:v>14</c:v>
                </c:pt>
                <c:pt idx="22">
                  <c:v>13</c:v>
                </c:pt>
                <c:pt idx="23">
                  <c:v>12</c:v>
                </c:pt>
                <c:pt idx="24">
                  <c:v>11</c:v>
                </c:pt>
                <c:pt idx="25">
                  <c:v>10</c:v>
                </c:pt>
                <c:pt idx="26">
                  <c:v>9</c:v>
                </c:pt>
                <c:pt idx="27">
                  <c:v>8</c:v>
                </c:pt>
                <c:pt idx="28">
                  <c:v>7</c:v>
                </c:pt>
                <c:pt idx="29">
                  <c:v>6</c:v>
                </c:pt>
                <c:pt idx="30">
                  <c:v>5</c:v>
                </c:pt>
                <c:pt idx="31">
                  <c:v>4</c:v>
                </c:pt>
                <c:pt idx="32">
                  <c:v>3</c:v>
                </c:pt>
                <c:pt idx="33">
                  <c:v>2</c:v>
                </c:pt>
                <c:pt idx="34">
                  <c:v>1</c:v>
                </c:pt>
                <c:pt idx="35">
                  <c:v>0</c:v>
                </c:pt>
              </c:numCache>
            </c:numRef>
          </c:cat>
          <c:val>
            <c:numRef>
              <c:f>'7.1 Report Member 35y YTR'!$I$136:$I$171</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2-2E29-47E9-923A-89B638198F34}"/>
            </c:ext>
          </c:extLst>
        </c:ser>
        <c:ser>
          <c:idx val="4"/>
          <c:order val="3"/>
          <c:tx>
            <c:strRef>
              <c:f>'7.1 Report Member 35y YTR'!$J$135</c:f>
              <c:strCache>
                <c:ptCount val="1"/>
                <c:pt idx="0">
                  <c:v>Fixed income</c:v>
                </c:pt>
              </c:strCache>
            </c:strRef>
          </c:tx>
          <c:cat>
            <c:numRef>
              <c:f>'7.1 Report Member 35y YTR'!$F$136:$F$171</c:f>
              <c:numCache>
                <c:formatCode>General</c:formatCode>
                <c:ptCount val="36"/>
                <c:pt idx="0">
                  <c:v>35</c:v>
                </c:pt>
                <c:pt idx="1">
                  <c:v>34</c:v>
                </c:pt>
                <c:pt idx="2">
                  <c:v>33</c:v>
                </c:pt>
                <c:pt idx="3">
                  <c:v>32</c:v>
                </c:pt>
                <c:pt idx="4">
                  <c:v>31</c:v>
                </c:pt>
                <c:pt idx="5">
                  <c:v>30</c:v>
                </c:pt>
                <c:pt idx="6">
                  <c:v>29</c:v>
                </c:pt>
                <c:pt idx="7">
                  <c:v>28</c:v>
                </c:pt>
                <c:pt idx="8">
                  <c:v>27</c:v>
                </c:pt>
                <c:pt idx="9">
                  <c:v>26</c:v>
                </c:pt>
                <c:pt idx="10">
                  <c:v>25</c:v>
                </c:pt>
                <c:pt idx="11">
                  <c:v>24</c:v>
                </c:pt>
                <c:pt idx="12">
                  <c:v>23</c:v>
                </c:pt>
                <c:pt idx="13">
                  <c:v>22</c:v>
                </c:pt>
                <c:pt idx="14">
                  <c:v>21</c:v>
                </c:pt>
                <c:pt idx="15">
                  <c:v>20</c:v>
                </c:pt>
                <c:pt idx="16">
                  <c:v>19</c:v>
                </c:pt>
                <c:pt idx="17">
                  <c:v>18</c:v>
                </c:pt>
                <c:pt idx="18">
                  <c:v>17</c:v>
                </c:pt>
                <c:pt idx="19">
                  <c:v>16</c:v>
                </c:pt>
                <c:pt idx="20">
                  <c:v>15</c:v>
                </c:pt>
                <c:pt idx="21">
                  <c:v>14</c:v>
                </c:pt>
                <c:pt idx="22">
                  <c:v>13</c:v>
                </c:pt>
                <c:pt idx="23">
                  <c:v>12</c:v>
                </c:pt>
                <c:pt idx="24">
                  <c:v>11</c:v>
                </c:pt>
                <c:pt idx="25">
                  <c:v>10</c:v>
                </c:pt>
                <c:pt idx="26">
                  <c:v>9</c:v>
                </c:pt>
                <c:pt idx="27">
                  <c:v>8</c:v>
                </c:pt>
                <c:pt idx="28">
                  <c:v>7</c:v>
                </c:pt>
                <c:pt idx="29">
                  <c:v>6</c:v>
                </c:pt>
                <c:pt idx="30">
                  <c:v>5</c:v>
                </c:pt>
                <c:pt idx="31">
                  <c:v>4</c:v>
                </c:pt>
                <c:pt idx="32">
                  <c:v>3</c:v>
                </c:pt>
                <c:pt idx="33">
                  <c:v>2</c:v>
                </c:pt>
                <c:pt idx="34">
                  <c:v>1</c:v>
                </c:pt>
                <c:pt idx="35">
                  <c:v>0</c:v>
                </c:pt>
              </c:numCache>
            </c:numRef>
          </c:cat>
          <c:val>
            <c:numRef>
              <c:f>'7.1 Report Member 35y YTR'!$J$136:$J$171</c:f>
              <c:numCache>
                <c:formatCode>0%</c:formatCode>
                <c:ptCount val="36"/>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numCache>
            </c:numRef>
          </c:val>
          <c:extLst>
            <c:ext xmlns:c16="http://schemas.microsoft.com/office/drawing/2014/chart" uri="{C3380CC4-5D6E-409C-BE32-E72D297353CC}">
              <c16:uniqueId val="{00000003-2E29-47E9-923A-89B638198F34}"/>
            </c:ext>
          </c:extLst>
        </c:ser>
        <c:dLbls>
          <c:showLegendKey val="0"/>
          <c:showVal val="0"/>
          <c:showCatName val="0"/>
          <c:showSerName val="0"/>
          <c:showPercent val="0"/>
          <c:showBubbleSize val="0"/>
        </c:dLbls>
        <c:axId val="166326272"/>
        <c:axId val="166328192"/>
      </c:areaChart>
      <c:catAx>
        <c:axId val="166326272"/>
        <c:scaling>
          <c:orientation val="minMax"/>
        </c:scaling>
        <c:delete val="0"/>
        <c:axPos val="b"/>
        <c:numFmt formatCode="General" sourceLinked="1"/>
        <c:majorTickMark val="none"/>
        <c:minorTickMark val="none"/>
        <c:tickLblPos val="nextTo"/>
        <c:crossAx val="166328192"/>
        <c:crosses val="autoZero"/>
        <c:auto val="1"/>
        <c:lblAlgn val="ctr"/>
        <c:lblOffset val="100"/>
        <c:noMultiLvlLbl val="0"/>
      </c:catAx>
      <c:valAx>
        <c:axId val="166328192"/>
        <c:scaling>
          <c:orientation val="minMax"/>
        </c:scaling>
        <c:delete val="0"/>
        <c:axPos val="l"/>
        <c:majorGridlines/>
        <c:numFmt formatCode="0%" sourceLinked="1"/>
        <c:majorTickMark val="none"/>
        <c:minorTickMark val="none"/>
        <c:tickLblPos val="nextTo"/>
        <c:crossAx val="166326272"/>
        <c:crosses val="autoZero"/>
        <c:crossBetween val="midCat"/>
      </c:valAx>
    </c:plotArea>
    <c:legend>
      <c:legendPos val="b"/>
      <c:overlay val="0"/>
    </c:legend>
    <c:plotVisOnly val="1"/>
    <c:dispBlanksAs val="zero"/>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Baseline scenario: Aggregate asset mix over life cycle</a:t>
            </a:r>
          </a:p>
        </c:rich>
      </c:tx>
      <c:overlay val="0"/>
    </c:title>
    <c:autoTitleDeleted val="0"/>
    <c:plotArea>
      <c:layout/>
      <c:areaChart>
        <c:grouping val="percentStacked"/>
        <c:varyColors val="0"/>
        <c:ser>
          <c:idx val="1"/>
          <c:order val="0"/>
          <c:tx>
            <c:strRef>
              <c:f>'7.2 Report Member 20y YTR'!$G$95</c:f>
              <c:strCache>
                <c:ptCount val="1"/>
                <c:pt idx="0">
                  <c:v>Equities</c:v>
                </c:pt>
              </c:strCache>
            </c:strRef>
          </c:tx>
          <c:cat>
            <c:numRef>
              <c:f>'7.2 Report Member 20y YTR'!$F$96:$F$116</c:f>
              <c:numCache>
                <c:formatCode>General</c:formatCode>
                <c:ptCount val="21"/>
                <c:pt idx="0">
                  <c:v>20</c:v>
                </c:pt>
                <c:pt idx="1">
                  <c:v>19</c:v>
                </c:pt>
                <c:pt idx="2">
                  <c:v>18</c:v>
                </c:pt>
                <c:pt idx="3">
                  <c:v>17</c:v>
                </c:pt>
                <c:pt idx="4">
                  <c:v>16</c:v>
                </c:pt>
                <c:pt idx="5">
                  <c:v>15</c:v>
                </c:pt>
                <c:pt idx="6">
                  <c:v>14</c:v>
                </c:pt>
                <c:pt idx="7">
                  <c:v>13</c:v>
                </c:pt>
                <c:pt idx="8">
                  <c:v>12</c:v>
                </c:pt>
                <c:pt idx="9">
                  <c:v>11</c:v>
                </c:pt>
                <c:pt idx="10">
                  <c:v>10</c:v>
                </c:pt>
                <c:pt idx="11">
                  <c:v>9</c:v>
                </c:pt>
                <c:pt idx="12">
                  <c:v>8</c:v>
                </c:pt>
                <c:pt idx="13">
                  <c:v>7</c:v>
                </c:pt>
                <c:pt idx="14">
                  <c:v>6</c:v>
                </c:pt>
                <c:pt idx="15">
                  <c:v>5</c:v>
                </c:pt>
                <c:pt idx="16">
                  <c:v>4</c:v>
                </c:pt>
                <c:pt idx="17">
                  <c:v>3</c:v>
                </c:pt>
                <c:pt idx="18">
                  <c:v>2</c:v>
                </c:pt>
                <c:pt idx="19">
                  <c:v>1</c:v>
                </c:pt>
                <c:pt idx="20">
                  <c:v>0</c:v>
                </c:pt>
              </c:numCache>
            </c:numRef>
          </c:cat>
          <c:val>
            <c:numRef>
              <c:f>'7.2 Report Member 20y YTR'!$G$96:$G$116</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6131-4580-80FF-A843066B93D3}"/>
            </c:ext>
          </c:extLst>
        </c:ser>
        <c:ser>
          <c:idx val="2"/>
          <c:order val="1"/>
          <c:tx>
            <c:strRef>
              <c:f>'7.2 Report Member 20y YTR'!$H$95</c:f>
              <c:strCache>
                <c:ptCount val="1"/>
                <c:pt idx="0">
                  <c:v>Real Estate</c:v>
                </c:pt>
              </c:strCache>
            </c:strRef>
          </c:tx>
          <c:cat>
            <c:numRef>
              <c:f>'7.2 Report Member 20y YTR'!$F$96:$F$116</c:f>
              <c:numCache>
                <c:formatCode>General</c:formatCode>
                <c:ptCount val="21"/>
                <c:pt idx="0">
                  <c:v>20</c:v>
                </c:pt>
                <c:pt idx="1">
                  <c:v>19</c:v>
                </c:pt>
                <c:pt idx="2">
                  <c:v>18</c:v>
                </c:pt>
                <c:pt idx="3">
                  <c:v>17</c:v>
                </c:pt>
                <c:pt idx="4">
                  <c:v>16</c:v>
                </c:pt>
                <c:pt idx="5">
                  <c:v>15</c:v>
                </c:pt>
                <c:pt idx="6">
                  <c:v>14</c:v>
                </c:pt>
                <c:pt idx="7">
                  <c:v>13</c:v>
                </c:pt>
                <c:pt idx="8">
                  <c:v>12</c:v>
                </c:pt>
                <c:pt idx="9">
                  <c:v>11</c:v>
                </c:pt>
                <c:pt idx="10">
                  <c:v>10</c:v>
                </c:pt>
                <c:pt idx="11">
                  <c:v>9</c:v>
                </c:pt>
                <c:pt idx="12">
                  <c:v>8</c:v>
                </c:pt>
                <c:pt idx="13">
                  <c:v>7</c:v>
                </c:pt>
                <c:pt idx="14">
                  <c:v>6</c:v>
                </c:pt>
                <c:pt idx="15">
                  <c:v>5</c:v>
                </c:pt>
                <c:pt idx="16">
                  <c:v>4</c:v>
                </c:pt>
                <c:pt idx="17">
                  <c:v>3</c:v>
                </c:pt>
                <c:pt idx="18">
                  <c:v>2</c:v>
                </c:pt>
                <c:pt idx="19">
                  <c:v>1</c:v>
                </c:pt>
                <c:pt idx="20">
                  <c:v>0</c:v>
                </c:pt>
              </c:numCache>
            </c:numRef>
          </c:cat>
          <c:val>
            <c:numRef>
              <c:f>'7.2 Report Member 20y YTR'!$H$96:$H$116</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1-6131-4580-80FF-A843066B93D3}"/>
            </c:ext>
          </c:extLst>
        </c:ser>
        <c:ser>
          <c:idx val="3"/>
          <c:order val="2"/>
          <c:tx>
            <c:strRef>
              <c:f>'7.2 Report Member 20y YTR'!$I$95</c:f>
              <c:strCache>
                <c:ptCount val="1"/>
                <c:pt idx="0">
                  <c:v>Alternatives</c:v>
                </c:pt>
              </c:strCache>
            </c:strRef>
          </c:tx>
          <c:cat>
            <c:numRef>
              <c:f>'7.2 Report Member 20y YTR'!$F$96:$F$116</c:f>
              <c:numCache>
                <c:formatCode>General</c:formatCode>
                <c:ptCount val="21"/>
                <c:pt idx="0">
                  <c:v>20</c:v>
                </c:pt>
                <c:pt idx="1">
                  <c:v>19</c:v>
                </c:pt>
                <c:pt idx="2">
                  <c:v>18</c:v>
                </c:pt>
                <c:pt idx="3">
                  <c:v>17</c:v>
                </c:pt>
                <c:pt idx="4">
                  <c:v>16</c:v>
                </c:pt>
                <c:pt idx="5">
                  <c:v>15</c:v>
                </c:pt>
                <c:pt idx="6">
                  <c:v>14</c:v>
                </c:pt>
                <c:pt idx="7">
                  <c:v>13</c:v>
                </c:pt>
                <c:pt idx="8">
                  <c:v>12</c:v>
                </c:pt>
                <c:pt idx="9">
                  <c:v>11</c:v>
                </c:pt>
                <c:pt idx="10">
                  <c:v>10</c:v>
                </c:pt>
                <c:pt idx="11">
                  <c:v>9</c:v>
                </c:pt>
                <c:pt idx="12">
                  <c:v>8</c:v>
                </c:pt>
                <c:pt idx="13">
                  <c:v>7</c:v>
                </c:pt>
                <c:pt idx="14">
                  <c:v>6</c:v>
                </c:pt>
                <c:pt idx="15">
                  <c:v>5</c:v>
                </c:pt>
                <c:pt idx="16">
                  <c:v>4</c:v>
                </c:pt>
                <c:pt idx="17">
                  <c:v>3</c:v>
                </c:pt>
                <c:pt idx="18">
                  <c:v>2</c:v>
                </c:pt>
                <c:pt idx="19">
                  <c:v>1</c:v>
                </c:pt>
                <c:pt idx="20">
                  <c:v>0</c:v>
                </c:pt>
              </c:numCache>
            </c:numRef>
          </c:cat>
          <c:val>
            <c:numRef>
              <c:f>'7.2 Report Member 20y YTR'!$I$96:$I$116</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2-6131-4580-80FF-A843066B93D3}"/>
            </c:ext>
          </c:extLst>
        </c:ser>
        <c:ser>
          <c:idx val="4"/>
          <c:order val="3"/>
          <c:tx>
            <c:strRef>
              <c:f>'7.2 Report Member 20y YTR'!$J$95</c:f>
              <c:strCache>
                <c:ptCount val="1"/>
                <c:pt idx="0">
                  <c:v>Fixed income</c:v>
                </c:pt>
              </c:strCache>
            </c:strRef>
          </c:tx>
          <c:cat>
            <c:numRef>
              <c:f>'7.2 Report Member 20y YTR'!$F$96:$F$116</c:f>
              <c:numCache>
                <c:formatCode>General</c:formatCode>
                <c:ptCount val="21"/>
                <c:pt idx="0">
                  <c:v>20</c:v>
                </c:pt>
                <c:pt idx="1">
                  <c:v>19</c:v>
                </c:pt>
                <c:pt idx="2">
                  <c:v>18</c:v>
                </c:pt>
                <c:pt idx="3">
                  <c:v>17</c:v>
                </c:pt>
                <c:pt idx="4">
                  <c:v>16</c:v>
                </c:pt>
                <c:pt idx="5">
                  <c:v>15</c:v>
                </c:pt>
                <c:pt idx="6">
                  <c:v>14</c:v>
                </c:pt>
                <c:pt idx="7">
                  <c:v>13</c:v>
                </c:pt>
                <c:pt idx="8">
                  <c:v>12</c:v>
                </c:pt>
                <c:pt idx="9">
                  <c:v>11</c:v>
                </c:pt>
                <c:pt idx="10">
                  <c:v>10</c:v>
                </c:pt>
                <c:pt idx="11">
                  <c:v>9</c:v>
                </c:pt>
                <c:pt idx="12">
                  <c:v>8</c:v>
                </c:pt>
                <c:pt idx="13">
                  <c:v>7</c:v>
                </c:pt>
                <c:pt idx="14">
                  <c:v>6</c:v>
                </c:pt>
                <c:pt idx="15">
                  <c:v>5</c:v>
                </c:pt>
                <c:pt idx="16">
                  <c:v>4</c:v>
                </c:pt>
                <c:pt idx="17">
                  <c:v>3</c:v>
                </c:pt>
                <c:pt idx="18">
                  <c:v>2</c:v>
                </c:pt>
                <c:pt idx="19">
                  <c:v>1</c:v>
                </c:pt>
                <c:pt idx="20">
                  <c:v>0</c:v>
                </c:pt>
              </c:numCache>
            </c:numRef>
          </c:cat>
          <c:val>
            <c:numRef>
              <c:f>'7.2 Report Member 20y YTR'!$J$96:$J$116</c:f>
              <c:numCache>
                <c:formatCode>0%</c:formatCode>
                <c:ptCount val="21"/>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numCache>
            </c:numRef>
          </c:val>
          <c:extLst>
            <c:ext xmlns:c16="http://schemas.microsoft.com/office/drawing/2014/chart" uri="{C3380CC4-5D6E-409C-BE32-E72D297353CC}">
              <c16:uniqueId val="{00000003-6131-4580-80FF-A843066B93D3}"/>
            </c:ext>
          </c:extLst>
        </c:ser>
        <c:dLbls>
          <c:showLegendKey val="0"/>
          <c:showVal val="0"/>
          <c:showCatName val="0"/>
          <c:showSerName val="0"/>
          <c:showPercent val="0"/>
          <c:showBubbleSize val="0"/>
        </c:dLbls>
        <c:axId val="289649024"/>
        <c:axId val="289650560"/>
      </c:areaChart>
      <c:catAx>
        <c:axId val="289649024"/>
        <c:scaling>
          <c:orientation val="minMax"/>
        </c:scaling>
        <c:delete val="0"/>
        <c:axPos val="b"/>
        <c:numFmt formatCode="General" sourceLinked="1"/>
        <c:majorTickMark val="none"/>
        <c:minorTickMark val="none"/>
        <c:tickLblPos val="nextTo"/>
        <c:crossAx val="289650560"/>
        <c:crosses val="autoZero"/>
        <c:auto val="1"/>
        <c:lblAlgn val="ctr"/>
        <c:lblOffset val="100"/>
        <c:noMultiLvlLbl val="0"/>
      </c:catAx>
      <c:valAx>
        <c:axId val="289650560"/>
        <c:scaling>
          <c:orientation val="minMax"/>
        </c:scaling>
        <c:delete val="0"/>
        <c:axPos val="l"/>
        <c:majorGridlines/>
        <c:numFmt formatCode="0%" sourceLinked="1"/>
        <c:majorTickMark val="none"/>
        <c:minorTickMark val="none"/>
        <c:tickLblPos val="nextTo"/>
        <c:crossAx val="289649024"/>
        <c:crosses val="autoZero"/>
        <c:crossBetween val="midCat"/>
      </c:valAx>
    </c:plotArea>
    <c:legend>
      <c:legendPos val="b"/>
      <c:overlay val="0"/>
    </c:legend>
    <c:plotVisOnly val="1"/>
    <c:dispBlanksAs val="zero"/>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Adverse scenario: Aggregate asset mix over life cycle</a:t>
            </a:r>
          </a:p>
        </c:rich>
      </c:tx>
      <c:overlay val="0"/>
    </c:title>
    <c:autoTitleDeleted val="0"/>
    <c:plotArea>
      <c:layout/>
      <c:areaChart>
        <c:grouping val="percentStacked"/>
        <c:varyColors val="0"/>
        <c:ser>
          <c:idx val="1"/>
          <c:order val="0"/>
          <c:tx>
            <c:strRef>
              <c:f>'7.2 Report Member 20y YTR'!$G$120</c:f>
              <c:strCache>
                <c:ptCount val="1"/>
                <c:pt idx="0">
                  <c:v>Equities</c:v>
                </c:pt>
              </c:strCache>
            </c:strRef>
          </c:tx>
          <c:cat>
            <c:numRef>
              <c:f>'7.2 Report Member 20y YTR'!$F$121:$F$141</c:f>
              <c:numCache>
                <c:formatCode>General</c:formatCode>
                <c:ptCount val="21"/>
                <c:pt idx="0">
                  <c:v>20</c:v>
                </c:pt>
                <c:pt idx="1">
                  <c:v>19</c:v>
                </c:pt>
                <c:pt idx="2">
                  <c:v>18</c:v>
                </c:pt>
                <c:pt idx="3">
                  <c:v>17</c:v>
                </c:pt>
                <c:pt idx="4">
                  <c:v>16</c:v>
                </c:pt>
                <c:pt idx="5">
                  <c:v>15</c:v>
                </c:pt>
                <c:pt idx="6">
                  <c:v>14</c:v>
                </c:pt>
                <c:pt idx="7">
                  <c:v>13</c:v>
                </c:pt>
                <c:pt idx="8">
                  <c:v>12</c:v>
                </c:pt>
                <c:pt idx="9">
                  <c:v>11</c:v>
                </c:pt>
                <c:pt idx="10">
                  <c:v>10</c:v>
                </c:pt>
                <c:pt idx="11">
                  <c:v>9</c:v>
                </c:pt>
                <c:pt idx="12">
                  <c:v>8</c:v>
                </c:pt>
                <c:pt idx="13">
                  <c:v>7</c:v>
                </c:pt>
                <c:pt idx="14">
                  <c:v>6</c:v>
                </c:pt>
                <c:pt idx="15">
                  <c:v>5</c:v>
                </c:pt>
                <c:pt idx="16">
                  <c:v>4</c:v>
                </c:pt>
                <c:pt idx="17">
                  <c:v>3</c:v>
                </c:pt>
                <c:pt idx="18">
                  <c:v>2</c:v>
                </c:pt>
                <c:pt idx="19">
                  <c:v>1</c:v>
                </c:pt>
                <c:pt idx="20">
                  <c:v>0</c:v>
                </c:pt>
              </c:numCache>
            </c:numRef>
          </c:cat>
          <c:val>
            <c:numRef>
              <c:f>'7.2 Report Member 20y YTR'!$G$121:$G$141</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6131-4580-80FF-A843066B93D3}"/>
            </c:ext>
          </c:extLst>
        </c:ser>
        <c:ser>
          <c:idx val="2"/>
          <c:order val="1"/>
          <c:tx>
            <c:strRef>
              <c:f>'7.2 Report Member 20y YTR'!$H$120</c:f>
              <c:strCache>
                <c:ptCount val="1"/>
                <c:pt idx="0">
                  <c:v>Real Estate</c:v>
                </c:pt>
              </c:strCache>
            </c:strRef>
          </c:tx>
          <c:cat>
            <c:numRef>
              <c:f>'7.2 Report Member 20y YTR'!$F$121:$F$141</c:f>
              <c:numCache>
                <c:formatCode>General</c:formatCode>
                <c:ptCount val="21"/>
                <c:pt idx="0">
                  <c:v>20</c:v>
                </c:pt>
                <c:pt idx="1">
                  <c:v>19</c:v>
                </c:pt>
                <c:pt idx="2">
                  <c:v>18</c:v>
                </c:pt>
                <c:pt idx="3">
                  <c:v>17</c:v>
                </c:pt>
                <c:pt idx="4">
                  <c:v>16</c:v>
                </c:pt>
                <c:pt idx="5">
                  <c:v>15</c:v>
                </c:pt>
                <c:pt idx="6">
                  <c:v>14</c:v>
                </c:pt>
                <c:pt idx="7">
                  <c:v>13</c:v>
                </c:pt>
                <c:pt idx="8">
                  <c:v>12</c:v>
                </c:pt>
                <c:pt idx="9">
                  <c:v>11</c:v>
                </c:pt>
                <c:pt idx="10">
                  <c:v>10</c:v>
                </c:pt>
                <c:pt idx="11">
                  <c:v>9</c:v>
                </c:pt>
                <c:pt idx="12">
                  <c:v>8</c:v>
                </c:pt>
                <c:pt idx="13">
                  <c:v>7</c:v>
                </c:pt>
                <c:pt idx="14">
                  <c:v>6</c:v>
                </c:pt>
                <c:pt idx="15">
                  <c:v>5</c:v>
                </c:pt>
                <c:pt idx="16">
                  <c:v>4</c:v>
                </c:pt>
                <c:pt idx="17">
                  <c:v>3</c:v>
                </c:pt>
                <c:pt idx="18">
                  <c:v>2</c:v>
                </c:pt>
                <c:pt idx="19">
                  <c:v>1</c:v>
                </c:pt>
                <c:pt idx="20">
                  <c:v>0</c:v>
                </c:pt>
              </c:numCache>
            </c:numRef>
          </c:cat>
          <c:val>
            <c:numRef>
              <c:f>'7.2 Report Member 20y YTR'!$H$121:$H$141</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1-6131-4580-80FF-A843066B93D3}"/>
            </c:ext>
          </c:extLst>
        </c:ser>
        <c:ser>
          <c:idx val="3"/>
          <c:order val="2"/>
          <c:tx>
            <c:strRef>
              <c:f>'7.2 Report Member 20y YTR'!$I$120</c:f>
              <c:strCache>
                <c:ptCount val="1"/>
                <c:pt idx="0">
                  <c:v>Alternatives</c:v>
                </c:pt>
              </c:strCache>
            </c:strRef>
          </c:tx>
          <c:cat>
            <c:numRef>
              <c:f>'7.2 Report Member 20y YTR'!$F$121:$F$141</c:f>
              <c:numCache>
                <c:formatCode>General</c:formatCode>
                <c:ptCount val="21"/>
                <c:pt idx="0">
                  <c:v>20</c:v>
                </c:pt>
                <c:pt idx="1">
                  <c:v>19</c:v>
                </c:pt>
                <c:pt idx="2">
                  <c:v>18</c:v>
                </c:pt>
                <c:pt idx="3">
                  <c:v>17</c:v>
                </c:pt>
                <c:pt idx="4">
                  <c:v>16</c:v>
                </c:pt>
                <c:pt idx="5">
                  <c:v>15</c:v>
                </c:pt>
                <c:pt idx="6">
                  <c:v>14</c:v>
                </c:pt>
                <c:pt idx="7">
                  <c:v>13</c:v>
                </c:pt>
                <c:pt idx="8">
                  <c:v>12</c:v>
                </c:pt>
                <c:pt idx="9">
                  <c:v>11</c:v>
                </c:pt>
                <c:pt idx="10">
                  <c:v>10</c:v>
                </c:pt>
                <c:pt idx="11">
                  <c:v>9</c:v>
                </c:pt>
                <c:pt idx="12">
                  <c:v>8</c:v>
                </c:pt>
                <c:pt idx="13">
                  <c:v>7</c:v>
                </c:pt>
                <c:pt idx="14">
                  <c:v>6</c:v>
                </c:pt>
                <c:pt idx="15">
                  <c:v>5</c:v>
                </c:pt>
                <c:pt idx="16">
                  <c:v>4</c:v>
                </c:pt>
                <c:pt idx="17">
                  <c:v>3</c:v>
                </c:pt>
                <c:pt idx="18">
                  <c:v>2</c:v>
                </c:pt>
                <c:pt idx="19">
                  <c:v>1</c:v>
                </c:pt>
                <c:pt idx="20">
                  <c:v>0</c:v>
                </c:pt>
              </c:numCache>
            </c:numRef>
          </c:cat>
          <c:val>
            <c:numRef>
              <c:f>'7.2 Report Member 20y YTR'!$I$121:$I$141</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2-6131-4580-80FF-A843066B93D3}"/>
            </c:ext>
          </c:extLst>
        </c:ser>
        <c:ser>
          <c:idx val="4"/>
          <c:order val="3"/>
          <c:tx>
            <c:strRef>
              <c:f>'7.2 Report Member 20y YTR'!$J$120</c:f>
              <c:strCache>
                <c:ptCount val="1"/>
                <c:pt idx="0">
                  <c:v>Fixed income</c:v>
                </c:pt>
              </c:strCache>
            </c:strRef>
          </c:tx>
          <c:cat>
            <c:numRef>
              <c:f>'7.2 Report Member 20y YTR'!$F$121:$F$141</c:f>
              <c:numCache>
                <c:formatCode>General</c:formatCode>
                <c:ptCount val="21"/>
                <c:pt idx="0">
                  <c:v>20</c:v>
                </c:pt>
                <c:pt idx="1">
                  <c:v>19</c:v>
                </c:pt>
                <c:pt idx="2">
                  <c:v>18</c:v>
                </c:pt>
                <c:pt idx="3">
                  <c:v>17</c:v>
                </c:pt>
                <c:pt idx="4">
                  <c:v>16</c:v>
                </c:pt>
                <c:pt idx="5">
                  <c:v>15</c:v>
                </c:pt>
                <c:pt idx="6">
                  <c:v>14</c:v>
                </c:pt>
                <c:pt idx="7">
                  <c:v>13</c:v>
                </c:pt>
                <c:pt idx="8">
                  <c:v>12</c:v>
                </c:pt>
                <c:pt idx="9">
                  <c:v>11</c:v>
                </c:pt>
                <c:pt idx="10">
                  <c:v>10</c:v>
                </c:pt>
                <c:pt idx="11">
                  <c:v>9</c:v>
                </c:pt>
                <c:pt idx="12">
                  <c:v>8</c:v>
                </c:pt>
                <c:pt idx="13">
                  <c:v>7</c:v>
                </c:pt>
                <c:pt idx="14">
                  <c:v>6</c:v>
                </c:pt>
                <c:pt idx="15">
                  <c:v>5</c:v>
                </c:pt>
                <c:pt idx="16">
                  <c:v>4</c:v>
                </c:pt>
                <c:pt idx="17">
                  <c:v>3</c:v>
                </c:pt>
                <c:pt idx="18">
                  <c:v>2</c:v>
                </c:pt>
                <c:pt idx="19">
                  <c:v>1</c:v>
                </c:pt>
                <c:pt idx="20">
                  <c:v>0</c:v>
                </c:pt>
              </c:numCache>
            </c:numRef>
          </c:cat>
          <c:val>
            <c:numRef>
              <c:f>'7.2 Report Member 20y YTR'!$J$121:$J$141</c:f>
              <c:numCache>
                <c:formatCode>0%</c:formatCode>
                <c:ptCount val="21"/>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numCache>
            </c:numRef>
          </c:val>
          <c:extLst>
            <c:ext xmlns:c16="http://schemas.microsoft.com/office/drawing/2014/chart" uri="{C3380CC4-5D6E-409C-BE32-E72D297353CC}">
              <c16:uniqueId val="{00000003-6131-4580-80FF-A843066B93D3}"/>
            </c:ext>
          </c:extLst>
        </c:ser>
        <c:dLbls>
          <c:showLegendKey val="0"/>
          <c:showVal val="0"/>
          <c:showCatName val="0"/>
          <c:showSerName val="0"/>
          <c:showPercent val="0"/>
          <c:showBubbleSize val="0"/>
        </c:dLbls>
        <c:axId val="109301760"/>
        <c:axId val="109303296"/>
      </c:areaChart>
      <c:catAx>
        <c:axId val="109301760"/>
        <c:scaling>
          <c:orientation val="minMax"/>
        </c:scaling>
        <c:delete val="0"/>
        <c:axPos val="b"/>
        <c:numFmt formatCode="General" sourceLinked="1"/>
        <c:majorTickMark val="none"/>
        <c:minorTickMark val="none"/>
        <c:tickLblPos val="nextTo"/>
        <c:crossAx val="109303296"/>
        <c:crosses val="autoZero"/>
        <c:auto val="1"/>
        <c:lblAlgn val="ctr"/>
        <c:lblOffset val="100"/>
        <c:noMultiLvlLbl val="0"/>
      </c:catAx>
      <c:valAx>
        <c:axId val="109303296"/>
        <c:scaling>
          <c:orientation val="minMax"/>
        </c:scaling>
        <c:delete val="0"/>
        <c:axPos val="l"/>
        <c:majorGridlines/>
        <c:numFmt formatCode="0%" sourceLinked="1"/>
        <c:majorTickMark val="none"/>
        <c:minorTickMark val="none"/>
        <c:tickLblPos val="nextTo"/>
        <c:crossAx val="109301760"/>
        <c:crosses val="autoZero"/>
        <c:crossBetween val="midCat"/>
      </c:valAx>
    </c:plotArea>
    <c:legend>
      <c:legendPos val="b"/>
      <c:overlay val="0"/>
    </c:legend>
    <c:plotVisOnly val="1"/>
    <c:dispBlanksAs val="zero"/>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Baseline scenario: Aggregate asset mix over life cycle</a:t>
            </a:r>
          </a:p>
        </c:rich>
      </c:tx>
      <c:overlay val="0"/>
    </c:title>
    <c:autoTitleDeleted val="0"/>
    <c:plotArea>
      <c:layout/>
      <c:areaChart>
        <c:grouping val="percentStacked"/>
        <c:varyColors val="0"/>
        <c:ser>
          <c:idx val="1"/>
          <c:order val="0"/>
          <c:tx>
            <c:strRef>
              <c:f>'7.3 Report Member 5y YTR'!$G$95</c:f>
              <c:strCache>
                <c:ptCount val="1"/>
                <c:pt idx="0">
                  <c:v>Equities</c:v>
                </c:pt>
              </c:strCache>
            </c:strRef>
          </c:tx>
          <c:cat>
            <c:numRef>
              <c:f>'7.3 Report Member 5y YTR'!$F$96:$F$101</c:f>
              <c:numCache>
                <c:formatCode>General</c:formatCode>
                <c:ptCount val="6"/>
                <c:pt idx="0">
                  <c:v>5</c:v>
                </c:pt>
                <c:pt idx="1">
                  <c:v>4</c:v>
                </c:pt>
                <c:pt idx="2">
                  <c:v>3</c:v>
                </c:pt>
                <c:pt idx="3">
                  <c:v>2</c:v>
                </c:pt>
                <c:pt idx="4">
                  <c:v>1</c:v>
                </c:pt>
                <c:pt idx="5">
                  <c:v>0</c:v>
                </c:pt>
              </c:numCache>
            </c:numRef>
          </c:cat>
          <c:val>
            <c:numRef>
              <c:f>'7.3 Report Member 5y YTR'!$G$96:$G$101</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EB4-4441-9704-BD60D4A7A3A1}"/>
            </c:ext>
          </c:extLst>
        </c:ser>
        <c:ser>
          <c:idx val="2"/>
          <c:order val="1"/>
          <c:tx>
            <c:strRef>
              <c:f>'7.3 Report Member 5y YTR'!$H$95</c:f>
              <c:strCache>
                <c:ptCount val="1"/>
                <c:pt idx="0">
                  <c:v>Real Estate</c:v>
                </c:pt>
              </c:strCache>
            </c:strRef>
          </c:tx>
          <c:cat>
            <c:numRef>
              <c:f>'7.3 Report Member 5y YTR'!$F$96:$F$101</c:f>
              <c:numCache>
                <c:formatCode>General</c:formatCode>
                <c:ptCount val="6"/>
                <c:pt idx="0">
                  <c:v>5</c:v>
                </c:pt>
                <c:pt idx="1">
                  <c:v>4</c:v>
                </c:pt>
                <c:pt idx="2">
                  <c:v>3</c:v>
                </c:pt>
                <c:pt idx="3">
                  <c:v>2</c:v>
                </c:pt>
                <c:pt idx="4">
                  <c:v>1</c:v>
                </c:pt>
                <c:pt idx="5">
                  <c:v>0</c:v>
                </c:pt>
              </c:numCache>
            </c:numRef>
          </c:cat>
          <c:val>
            <c:numRef>
              <c:f>'7.3 Report Member 5y YTR'!$H$96:$H$101</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EB4-4441-9704-BD60D4A7A3A1}"/>
            </c:ext>
          </c:extLst>
        </c:ser>
        <c:ser>
          <c:idx val="3"/>
          <c:order val="2"/>
          <c:tx>
            <c:strRef>
              <c:f>'7.3 Report Member 5y YTR'!$I$95</c:f>
              <c:strCache>
                <c:ptCount val="1"/>
                <c:pt idx="0">
                  <c:v>Alternatives</c:v>
                </c:pt>
              </c:strCache>
            </c:strRef>
          </c:tx>
          <c:cat>
            <c:numRef>
              <c:f>'7.3 Report Member 5y YTR'!$F$96:$F$101</c:f>
              <c:numCache>
                <c:formatCode>General</c:formatCode>
                <c:ptCount val="6"/>
                <c:pt idx="0">
                  <c:v>5</c:v>
                </c:pt>
                <c:pt idx="1">
                  <c:v>4</c:v>
                </c:pt>
                <c:pt idx="2">
                  <c:v>3</c:v>
                </c:pt>
                <c:pt idx="3">
                  <c:v>2</c:v>
                </c:pt>
                <c:pt idx="4">
                  <c:v>1</c:v>
                </c:pt>
                <c:pt idx="5">
                  <c:v>0</c:v>
                </c:pt>
              </c:numCache>
            </c:numRef>
          </c:cat>
          <c:val>
            <c:numRef>
              <c:f>'7.3 Report Member 5y YTR'!$I$96:$I$101</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1EB4-4441-9704-BD60D4A7A3A1}"/>
            </c:ext>
          </c:extLst>
        </c:ser>
        <c:ser>
          <c:idx val="4"/>
          <c:order val="3"/>
          <c:tx>
            <c:strRef>
              <c:f>'7.3 Report Member 5y YTR'!$J$95</c:f>
              <c:strCache>
                <c:ptCount val="1"/>
                <c:pt idx="0">
                  <c:v>Fixed income</c:v>
                </c:pt>
              </c:strCache>
            </c:strRef>
          </c:tx>
          <c:cat>
            <c:numRef>
              <c:f>'7.3 Report Member 5y YTR'!$F$96:$F$101</c:f>
              <c:numCache>
                <c:formatCode>General</c:formatCode>
                <c:ptCount val="6"/>
                <c:pt idx="0">
                  <c:v>5</c:v>
                </c:pt>
                <c:pt idx="1">
                  <c:v>4</c:v>
                </c:pt>
                <c:pt idx="2">
                  <c:v>3</c:v>
                </c:pt>
                <c:pt idx="3">
                  <c:v>2</c:v>
                </c:pt>
                <c:pt idx="4">
                  <c:v>1</c:v>
                </c:pt>
                <c:pt idx="5">
                  <c:v>0</c:v>
                </c:pt>
              </c:numCache>
            </c:numRef>
          </c:cat>
          <c:val>
            <c:numRef>
              <c:f>'7.3 Report Member 5y YTR'!$J$96:$J$101</c:f>
              <c:numCache>
                <c:formatCode>0%</c:formatCode>
                <c:ptCount val="6"/>
                <c:pt idx="0">
                  <c:v>1</c:v>
                </c:pt>
                <c:pt idx="1">
                  <c:v>1</c:v>
                </c:pt>
                <c:pt idx="2">
                  <c:v>1</c:v>
                </c:pt>
                <c:pt idx="3">
                  <c:v>1</c:v>
                </c:pt>
                <c:pt idx="4">
                  <c:v>1</c:v>
                </c:pt>
                <c:pt idx="5">
                  <c:v>1</c:v>
                </c:pt>
              </c:numCache>
            </c:numRef>
          </c:val>
          <c:extLst>
            <c:ext xmlns:c16="http://schemas.microsoft.com/office/drawing/2014/chart" uri="{C3380CC4-5D6E-409C-BE32-E72D297353CC}">
              <c16:uniqueId val="{00000003-1EB4-4441-9704-BD60D4A7A3A1}"/>
            </c:ext>
          </c:extLst>
        </c:ser>
        <c:dLbls>
          <c:showLegendKey val="0"/>
          <c:showVal val="0"/>
          <c:showCatName val="0"/>
          <c:showSerName val="0"/>
          <c:showPercent val="0"/>
          <c:showBubbleSize val="0"/>
        </c:dLbls>
        <c:axId val="109518848"/>
        <c:axId val="109520384"/>
      </c:areaChart>
      <c:catAx>
        <c:axId val="109518848"/>
        <c:scaling>
          <c:orientation val="minMax"/>
        </c:scaling>
        <c:delete val="0"/>
        <c:axPos val="b"/>
        <c:numFmt formatCode="General" sourceLinked="1"/>
        <c:majorTickMark val="none"/>
        <c:minorTickMark val="none"/>
        <c:tickLblPos val="nextTo"/>
        <c:crossAx val="109520384"/>
        <c:crosses val="autoZero"/>
        <c:auto val="1"/>
        <c:lblAlgn val="ctr"/>
        <c:lblOffset val="100"/>
        <c:noMultiLvlLbl val="0"/>
      </c:catAx>
      <c:valAx>
        <c:axId val="109520384"/>
        <c:scaling>
          <c:orientation val="minMax"/>
        </c:scaling>
        <c:delete val="0"/>
        <c:axPos val="l"/>
        <c:majorGridlines/>
        <c:numFmt formatCode="0%" sourceLinked="1"/>
        <c:majorTickMark val="none"/>
        <c:minorTickMark val="none"/>
        <c:tickLblPos val="nextTo"/>
        <c:crossAx val="109518848"/>
        <c:crosses val="autoZero"/>
        <c:crossBetween val="midCat"/>
      </c:valAx>
    </c:plotArea>
    <c:legend>
      <c:legendPos val="b"/>
      <c:overlay val="0"/>
    </c:legend>
    <c:plotVisOnly val="1"/>
    <c:dispBlanksAs val="zero"/>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Adverse scenario: Aggregate asset mix over life cycle</a:t>
            </a:r>
          </a:p>
        </c:rich>
      </c:tx>
      <c:overlay val="0"/>
    </c:title>
    <c:autoTitleDeleted val="0"/>
    <c:plotArea>
      <c:layout/>
      <c:areaChart>
        <c:grouping val="percentStacked"/>
        <c:varyColors val="0"/>
        <c:ser>
          <c:idx val="1"/>
          <c:order val="0"/>
          <c:tx>
            <c:strRef>
              <c:f>'7.3 Report Member 5y YTR'!$G$105</c:f>
              <c:strCache>
                <c:ptCount val="1"/>
                <c:pt idx="0">
                  <c:v>Equities</c:v>
                </c:pt>
              </c:strCache>
            </c:strRef>
          </c:tx>
          <c:cat>
            <c:numRef>
              <c:f>'7.3 Report Member 5y YTR'!$F$106:$F$111</c:f>
              <c:numCache>
                <c:formatCode>General</c:formatCode>
                <c:ptCount val="6"/>
                <c:pt idx="0">
                  <c:v>5</c:v>
                </c:pt>
                <c:pt idx="1">
                  <c:v>4</c:v>
                </c:pt>
                <c:pt idx="2">
                  <c:v>3</c:v>
                </c:pt>
                <c:pt idx="3">
                  <c:v>2</c:v>
                </c:pt>
                <c:pt idx="4">
                  <c:v>1</c:v>
                </c:pt>
                <c:pt idx="5">
                  <c:v>0</c:v>
                </c:pt>
              </c:numCache>
            </c:numRef>
          </c:cat>
          <c:val>
            <c:numRef>
              <c:f>'7.3 Report Member 5y YTR'!$G$106:$G$111</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EB4-4441-9704-BD60D4A7A3A1}"/>
            </c:ext>
          </c:extLst>
        </c:ser>
        <c:ser>
          <c:idx val="2"/>
          <c:order val="1"/>
          <c:tx>
            <c:strRef>
              <c:f>'7.3 Report Member 5y YTR'!$H$105</c:f>
              <c:strCache>
                <c:ptCount val="1"/>
                <c:pt idx="0">
                  <c:v>Real Estate</c:v>
                </c:pt>
              </c:strCache>
            </c:strRef>
          </c:tx>
          <c:cat>
            <c:numRef>
              <c:f>'7.3 Report Member 5y YTR'!$F$106:$F$111</c:f>
              <c:numCache>
                <c:formatCode>General</c:formatCode>
                <c:ptCount val="6"/>
                <c:pt idx="0">
                  <c:v>5</c:v>
                </c:pt>
                <c:pt idx="1">
                  <c:v>4</c:v>
                </c:pt>
                <c:pt idx="2">
                  <c:v>3</c:v>
                </c:pt>
                <c:pt idx="3">
                  <c:v>2</c:v>
                </c:pt>
                <c:pt idx="4">
                  <c:v>1</c:v>
                </c:pt>
                <c:pt idx="5">
                  <c:v>0</c:v>
                </c:pt>
              </c:numCache>
            </c:numRef>
          </c:cat>
          <c:val>
            <c:numRef>
              <c:f>'7.3 Report Member 5y YTR'!$H$106:$H$111</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EB4-4441-9704-BD60D4A7A3A1}"/>
            </c:ext>
          </c:extLst>
        </c:ser>
        <c:ser>
          <c:idx val="3"/>
          <c:order val="2"/>
          <c:tx>
            <c:strRef>
              <c:f>'7.3 Report Member 5y YTR'!$I$105</c:f>
              <c:strCache>
                <c:ptCount val="1"/>
                <c:pt idx="0">
                  <c:v>Alternatives</c:v>
                </c:pt>
              </c:strCache>
            </c:strRef>
          </c:tx>
          <c:cat>
            <c:numRef>
              <c:f>'7.3 Report Member 5y YTR'!$F$106:$F$111</c:f>
              <c:numCache>
                <c:formatCode>General</c:formatCode>
                <c:ptCount val="6"/>
                <c:pt idx="0">
                  <c:v>5</c:v>
                </c:pt>
                <c:pt idx="1">
                  <c:v>4</c:v>
                </c:pt>
                <c:pt idx="2">
                  <c:v>3</c:v>
                </c:pt>
                <c:pt idx="3">
                  <c:v>2</c:v>
                </c:pt>
                <c:pt idx="4">
                  <c:v>1</c:v>
                </c:pt>
                <c:pt idx="5">
                  <c:v>0</c:v>
                </c:pt>
              </c:numCache>
            </c:numRef>
          </c:cat>
          <c:val>
            <c:numRef>
              <c:f>'7.3 Report Member 5y YTR'!$I$106:$I$111</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1EB4-4441-9704-BD60D4A7A3A1}"/>
            </c:ext>
          </c:extLst>
        </c:ser>
        <c:ser>
          <c:idx val="4"/>
          <c:order val="3"/>
          <c:tx>
            <c:strRef>
              <c:f>'7.3 Report Member 5y YTR'!$J$105</c:f>
              <c:strCache>
                <c:ptCount val="1"/>
                <c:pt idx="0">
                  <c:v>Fixed income</c:v>
                </c:pt>
              </c:strCache>
            </c:strRef>
          </c:tx>
          <c:cat>
            <c:numRef>
              <c:f>'7.3 Report Member 5y YTR'!$F$106:$F$111</c:f>
              <c:numCache>
                <c:formatCode>General</c:formatCode>
                <c:ptCount val="6"/>
                <c:pt idx="0">
                  <c:v>5</c:v>
                </c:pt>
                <c:pt idx="1">
                  <c:v>4</c:v>
                </c:pt>
                <c:pt idx="2">
                  <c:v>3</c:v>
                </c:pt>
                <c:pt idx="3">
                  <c:v>2</c:v>
                </c:pt>
                <c:pt idx="4">
                  <c:v>1</c:v>
                </c:pt>
                <c:pt idx="5">
                  <c:v>0</c:v>
                </c:pt>
              </c:numCache>
            </c:numRef>
          </c:cat>
          <c:val>
            <c:numRef>
              <c:f>'7.3 Report Member 5y YTR'!$J$106:$J$111</c:f>
              <c:numCache>
                <c:formatCode>0%</c:formatCode>
                <c:ptCount val="6"/>
                <c:pt idx="0">
                  <c:v>1</c:v>
                </c:pt>
                <c:pt idx="1">
                  <c:v>1</c:v>
                </c:pt>
                <c:pt idx="2">
                  <c:v>1</c:v>
                </c:pt>
                <c:pt idx="3">
                  <c:v>1</c:v>
                </c:pt>
                <c:pt idx="4">
                  <c:v>1</c:v>
                </c:pt>
                <c:pt idx="5">
                  <c:v>1</c:v>
                </c:pt>
              </c:numCache>
            </c:numRef>
          </c:val>
          <c:extLst>
            <c:ext xmlns:c16="http://schemas.microsoft.com/office/drawing/2014/chart" uri="{C3380CC4-5D6E-409C-BE32-E72D297353CC}">
              <c16:uniqueId val="{00000003-1EB4-4441-9704-BD60D4A7A3A1}"/>
            </c:ext>
          </c:extLst>
        </c:ser>
        <c:dLbls>
          <c:showLegendKey val="0"/>
          <c:showVal val="0"/>
          <c:showCatName val="0"/>
          <c:showSerName val="0"/>
          <c:showPercent val="0"/>
          <c:showBubbleSize val="0"/>
        </c:dLbls>
        <c:axId val="109549056"/>
        <c:axId val="109550592"/>
      </c:areaChart>
      <c:catAx>
        <c:axId val="109549056"/>
        <c:scaling>
          <c:orientation val="minMax"/>
        </c:scaling>
        <c:delete val="0"/>
        <c:axPos val="b"/>
        <c:numFmt formatCode="General" sourceLinked="1"/>
        <c:majorTickMark val="none"/>
        <c:minorTickMark val="none"/>
        <c:tickLblPos val="nextTo"/>
        <c:crossAx val="109550592"/>
        <c:crosses val="autoZero"/>
        <c:auto val="1"/>
        <c:lblAlgn val="ctr"/>
        <c:lblOffset val="100"/>
        <c:noMultiLvlLbl val="0"/>
      </c:catAx>
      <c:valAx>
        <c:axId val="109550592"/>
        <c:scaling>
          <c:orientation val="minMax"/>
        </c:scaling>
        <c:delete val="0"/>
        <c:axPos val="l"/>
        <c:majorGridlines/>
        <c:numFmt formatCode="0%" sourceLinked="1"/>
        <c:majorTickMark val="none"/>
        <c:minorTickMark val="none"/>
        <c:tickLblPos val="nextTo"/>
        <c:crossAx val="109549056"/>
        <c:crosses val="autoZero"/>
        <c:crossBetween val="midCat"/>
      </c:valAx>
    </c:plotArea>
    <c:legend>
      <c:legendPos val="b"/>
      <c:overlay val="0"/>
    </c:legend>
    <c:plotVisOnly val="1"/>
    <c:dispBlanksAs val="zero"/>
    <c:showDLblsOverMax val="0"/>
  </c:chart>
  <c:printSettings>
    <c:headerFooter/>
    <c:pageMargins b="0.75" l="0.7" r="0.7" t="0.75" header="0.3" footer="0.3"/>
    <c:pageSetup/>
  </c:printSettings>
</c:chartSpace>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CheckBox" fmlaLink="$B$24" lockText="1" noThreeD="1"/>
</file>

<file path=xl/ctrlProps/ctrlProp17.xml><?xml version="1.0" encoding="utf-8"?>
<formControlPr xmlns="http://schemas.microsoft.com/office/spreadsheetml/2009/9/main" objectType="CheckBox" fmlaLink="$B$25" lockText="1" noThreeD="1"/>
</file>

<file path=xl/ctrlProps/ctrlProp18.xml><?xml version="1.0" encoding="utf-8"?>
<formControlPr xmlns="http://schemas.microsoft.com/office/spreadsheetml/2009/9/main" objectType="CheckBox" fmlaLink="$B$24" lockText="1" noThreeD="1"/>
</file>

<file path=xl/ctrlProps/ctrlProp19.xml><?xml version="1.0" encoding="utf-8"?>
<formControlPr xmlns="http://schemas.microsoft.com/office/spreadsheetml/2009/9/main" objectType="CheckBox" fmlaLink="$B$25" lockText="1" noThreeD="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CheckBox" fmlaLink="$B$24" lockText="1" noThreeD="1"/>
</file>

<file path=xl/ctrlProps/ctrlProp21.xml><?xml version="1.0" encoding="utf-8"?>
<formControlPr xmlns="http://schemas.microsoft.com/office/spreadsheetml/2009/9/main" objectType="CheckBox" fmlaLink="$B$25" lockText="1" noThreeD="1"/>
</file>

<file path=xl/ctrlProps/ctrlProp22.xml><?xml version="1.0" encoding="utf-8"?>
<formControlPr xmlns="http://schemas.microsoft.com/office/spreadsheetml/2009/9/main" objectType="CheckBox" fmlaLink="$B$59" lockText="1" noThreeD="1"/>
</file>

<file path=xl/ctrlProps/ctrlProp23.xml><?xml version="1.0" encoding="utf-8"?>
<formControlPr xmlns="http://schemas.microsoft.com/office/spreadsheetml/2009/9/main" objectType="CheckBox" fmlaLink="$B$60" lockText="1" noThreeD="1"/>
</file>

<file path=xl/ctrlProps/ctrlProp24.xml><?xml version="1.0" encoding="utf-8"?>
<formControlPr xmlns="http://schemas.microsoft.com/office/spreadsheetml/2009/9/main" objectType="CheckBox" fmlaLink="$B$61" lockText="1" noThreeD="1"/>
</file>

<file path=xl/ctrlProps/ctrlProp25.xml><?xml version="1.0" encoding="utf-8"?>
<formControlPr xmlns="http://schemas.microsoft.com/office/spreadsheetml/2009/9/main" objectType="CheckBox" fmlaLink="$B$62" lockText="1" noThreeD="1"/>
</file>

<file path=xl/ctrlProps/ctrlProp26.xml><?xml version="1.0" encoding="utf-8"?>
<formControlPr xmlns="http://schemas.microsoft.com/office/spreadsheetml/2009/9/main" objectType="CheckBox" fmlaLink="$B$63" lockText="1" noThreeD="1"/>
</file>

<file path=xl/ctrlProps/ctrlProp27.xml><?xml version="1.0" encoding="utf-8"?>
<formControlPr xmlns="http://schemas.microsoft.com/office/spreadsheetml/2009/9/main" objectType="CheckBox" fmlaLink="$B$46" lockText="1" noThreeD="1"/>
</file>

<file path=xl/ctrlProps/ctrlProp28.xml><?xml version="1.0" encoding="utf-8"?>
<formControlPr xmlns="http://schemas.microsoft.com/office/spreadsheetml/2009/9/main" objectType="CheckBox" fmlaLink="$B$47" lockText="1" noThreeD="1"/>
</file>

<file path=xl/ctrlProps/ctrlProp29.xml><?xml version="1.0" encoding="utf-8"?>
<formControlPr xmlns="http://schemas.microsoft.com/office/spreadsheetml/2009/9/main" objectType="CheckBox" fmlaLink="$B$48" lockText="1" noThreeD="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CheckBox" fmlaLink="$B$49" lockText="1" noThreeD="1"/>
</file>

<file path=xl/ctrlProps/ctrlProp31.xml><?xml version="1.0" encoding="utf-8"?>
<formControlPr xmlns="http://schemas.microsoft.com/office/spreadsheetml/2009/9/main" objectType="CheckBox" fmlaLink="$B$50" lockText="1" noThreeD="1"/>
</file>

<file path=xl/ctrlProps/ctrlProp32.xml><?xml version="1.0" encoding="utf-8"?>
<formControlPr xmlns="http://schemas.microsoft.com/office/spreadsheetml/2009/9/main" objectType="CheckBox" fmlaLink="$B$51" lockText="1" noThreeD="1"/>
</file>

<file path=xl/ctrlProps/ctrlProp33.xml><?xml version="1.0" encoding="utf-8"?>
<formControlPr xmlns="http://schemas.microsoft.com/office/spreadsheetml/2009/9/main" objectType="CheckBox" fmlaLink="$B$52" lockText="1" noThreeD="1"/>
</file>

<file path=xl/ctrlProps/ctrlProp34.xml><?xml version="1.0" encoding="utf-8"?>
<formControlPr xmlns="http://schemas.microsoft.com/office/spreadsheetml/2009/9/main" objectType="CheckBox" fmlaLink="$B$64" lockText="1" noThreeD="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0.xml.rels><?xml version="1.0" encoding="UTF-8" standalone="yes"?>
<Relationships xmlns="http://schemas.openxmlformats.org/package/2006/relationships"><Relationship Id="rId1" Type="http://schemas.openxmlformats.org/officeDocument/2006/relationships/image" Target="../media/image2.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2.jpg"/></Relationships>
</file>

<file path=xl/drawings/_rels/drawing14.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2.jpg"/></Relationships>
</file>

<file path=xl/drawings/_rels/drawing15.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333375</xdr:colOff>
          <xdr:row>0</xdr:row>
          <xdr:rowOff>57150</xdr:rowOff>
        </xdr:from>
        <xdr:to>
          <xdr:col>7</xdr:col>
          <xdr:colOff>295275</xdr:colOff>
          <xdr:row>1</xdr:row>
          <xdr:rowOff>314325</xdr:rowOff>
        </xdr:to>
        <xdr:sp macro="" textlink="">
          <xdr:nvSpPr>
            <xdr:cNvPr id="206849" name="Button 1" hidden="1">
              <a:extLst>
                <a:ext uri="{63B3BB69-23CF-44E3-9099-C40C66FF867C}">
                  <a14:compatExt spid="_x0000_s206849"/>
                </a:ext>
                <a:ext uri="{FF2B5EF4-FFF2-40B4-BE49-F238E27FC236}">
                  <a16:creationId xmlns:a16="http://schemas.microsoft.com/office/drawing/2014/main" id="{00000000-0008-0000-0100-0000012803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GB" sz="1100" b="0" i="0" u="none" strike="noStrike" baseline="0">
                  <a:solidFill>
                    <a:srgbClr val="000000"/>
                  </a:solidFill>
                  <a:latin typeface="Calibri"/>
                  <a:cs typeface="Calibri"/>
                </a:rPr>
                <a:t>Load worksheets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619125</xdr:colOff>
          <xdr:row>0</xdr:row>
          <xdr:rowOff>47625</xdr:rowOff>
        </xdr:from>
        <xdr:to>
          <xdr:col>8</xdr:col>
          <xdr:colOff>590550</xdr:colOff>
          <xdr:row>1</xdr:row>
          <xdr:rowOff>304800</xdr:rowOff>
        </xdr:to>
        <xdr:sp macro="" textlink="">
          <xdr:nvSpPr>
            <xdr:cNvPr id="206850" name="Button 2" hidden="1">
              <a:extLst>
                <a:ext uri="{63B3BB69-23CF-44E3-9099-C40C66FF867C}">
                  <a14:compatExt spid="_x0000_s206850"/>
                </a:ext>
                <a:ext uri="{FF2B5EF4-FFF2-40B4-BE49-F238E27FC236}">
                  <a16:creationId xmlns:a16="http://schemas.microsoft.com/office/drawing/2014/main" id="{00000000-0008-0000-0100-0000022803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GB" sz="1100" b="0" i="0" u="none" strike="noStrike" baseline="0">
                  <a:solidFill>
                    <a:srgbClr val="000000"/>
                  </a:solidFill>
                  <a:latin typeface="Calibri"/>
                  <a:cs typeface="Calibri"/>
                </a:rPr>
                <a:t>Update all references from tables</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3</xdr:col>
      <xdr:colOff>9525</xdr:colOff>
      <xdr:row>1</xdr:row>
      <xdr:rowOff>0</xdr:rowOff>
    </xdr:from>
    <xdr:to>
      <xdr:col>6</xdr:col>
      <xdr:colOff>323330</xdr:colOff>
      <xdr:row>6</xdr:row>
      <xdr:rowOff>130752</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95550" y="190500"/>
          <a:ext cx="1799705" cy="122612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8</xdr:col>
          <xdr:colOff>0</xdr:colOff>
          <xdr:row>23</xdr:row>
          <xdr:rowOff>0</xdr:rowOff>
        </xdr:from>
        <xdr:to>
          <xdr:col>8</xdr:col>
          <xdr:colOff>238125</xdr:colOff>
          <xdr:row>24</xdr:row>
          <xdr:rowOff>19050</xdr:rowOff>
        </xdr:to>
        <xdr:sp macro="" textlink="">
          <xdr:nvSpPr>
            <xdr:cNvPr id="77825" name="chkPensionBaseFloor" hidden="1">
              <a:extLst>
                <a:ext uri="{63B3BB69-23CF-44E3-9099-C40C66FF867C}">
                  <a14:compatExt spid="_x0000_s77825"/>
                </a:ext>
                <a:ext uri="{FF2B5EF4-FFF2-40B4-BE49-F238E27FC236}">
                  <a16:creationId xmlns:a16="http://schemas.microsoft.com/office/drawing/2014/main" id="{00000000-0008-0000-0A00-000001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24</xdr:row>
          <xdr:rowOff>0</xdr:rowOff>
        </xdr:from>
        <xdr:to>
          <xdr:col>8</xdr:col>
          <xdr:colOff>266700</xdr:colOff>
          <xdr:row>25</xdr:row>
          <xdr:rowOff>28575</xdr:rowOff>
        </xdr:to>
        <xdr:sp macro="" textlink="">
          <xdr:nvSpPr>
            <xdr:cNvPr id="77826" name="chkPensionBaseCap" hidden="1">
              <a:extLst>
                <a:ext uri="{63B3BB69-23CF-44E3-9099-C40C66FF867C}">
                  <a14:compatExt spid="_x0000_s77826"/>
                </a:ext>
                <a:ext uri="{FF2B5EF4-FFF2-40B4-BE49-F238E27FC236}">
                  <a16:creationId xmlns:a16="http://schemas.microsoft.com/office/drawing/2014/main" id="{00000000-0008-0000-0A00-000002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15</xdr:col>
      <xdr:colOff>257173</xdr:colOff>
      <xdr:row>8</xdr:row>
      <xdr:rowOff>214312</xdr:rowOff>
    </xdr:from>
    <xdr:ext cx="12639677" cy="328613"/>
    <xdr:sp macro="" textlink="">
      <xdr:nvSpPr>
        <xdr:cNvPr id="11" name="TextBox 10">
          <a:extLst>
            <a:ext uri="{FF2B5EF4-FFF2-40B4-BE49-F238E27FC236}">
              <a16:creationId xmlns:a16="http://schemas.microsoft.com/office/drawing/2014/main" id="{00000000-0008-0000-0A00-00000B000000}"/>
            </a:ext>
          </a:extLst>
        </xdr:cNvPr>
        <xdr:cNvSpPr txBox="1"/>
      </xdr:nvSpPr>
      <xdr:spPr>
        <a:xfrm>
          <a:off x="10829923" y="1881187"/>
          <a:ext cx="12639677" cy="3286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1" i="1">
              <a:solidFill>
                <a:sysClr val="windowText" lastClr="000000"/>
              </a:solidFill>
            </a:rPr>
            <a:t>Current salary: </a:t>
          </a:r>
          <a:r>
            <a:rPr lang="en-US" sz="1100" i="1">
              <a:solidFill>
                <a:schemeClr val="dk1"/>
              </a:solidFill>
              <a:effectLst/>
              <a:latin typeface="+mn-lt"/>
              <a:ea typeface="+mn-ea"/>
              <a:cs typeface="+mn-cs"/>
            </a:rPr>
            <a:t>Provide an estimate of the current level of gross annual earnings that best represent a member of this age in your member population.</a:t>
          </a:r>
          <a:endParaRPr lang="en-US">
            <a:effectLst/>
          </a:endParaRPr>
        </a:p>
        <a:p>
          <a:endParaRPr lang="en-US" sz="1100" i="1">
            <a:solidFill>
              <a:sysClr val="windowText" lastClr="000000"/>
            </a:solidFill>
          </a:endParaRPr>
        </a:p>
      </xdr:txBody>
    </xdr:sp>
    <xdr:clientData/>
  </xdr:oneCellAnchor>
  <xdr:oneCellAnchor>
    <xdr:from>
      <xdr:col>16</xdr:col>
      <xdr:colOff>0</xdr:colOff>
      <xdr:row>12</xdr:row>
      <xdr:rowOff>151840</xdr:rowOff>
    </xdr:from>
    <xdr:ext cx="14039850" cy="3943910"/>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9925050" y="2628340"/>
          <a:ext cx="14039850" cy="39439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en-US" sz="1100" b="1" i="1">
              <a:solidFill>
                <a:sysClr val="windowText" lastClr="000000"/>
              </a:solidFill>
            </a:rPr>
            <a:t>Current pension wealth: </a:t>
          </a:r>
          <a:r>
            <a:rPr lang="en-US" sz="1100" b="0" i="1">
              <a:solidFill>
                <a:sysClr val="windowText" lastClr="000000"/>
              </a:solidFill>
            </a:rPr>
            <a:t>Provide a best estimate of pension wealth that  is representative for this member. </a:t>
          </a:r>
        </a:p>
        <a:p>
          <a:endParaRPr lang="en-US" sz="1100" b="1" i="1">
            <a:solidFill>
              <a:sysClr val="windowText" lastClr="000000"/>
            </a:solidFill>
          </a:endParaRPr>
        </a:p>
        <a:p>
          <a:r>
            <a:rPr lang="en-US" sz="1100" b="1" i="1">
              <a:solidFill>
                <a:sysClr val="windowText" lastClr="000000"/>
              </a:solidFill>
            </a:rPr>
            <a:t>Pensionable income</a:t>
          </a:r>
          <a:r>
            <a:rPr lang="en-US" sz="1100" b="1" i="1" baseline="0">
              <a:solidFill>
                <a:sysClr val="windowText" lastClr="000000"/>
              </a:solidFill>
            </a:rPr>
            <a:t> </a:t>
          </a:r>
          <a:r>
            <a:rPr lang="en-US" sz="1100" i="1" baseline="0">
              <a:solidFill>
                <a:sysClr val="windowText" lastClr="000000"/>
              </a:solidFill>
            </a:rPr>
            <a:t>is the (part of) member wage over which pension contributions are made. Wage can be capped and floored to obtain the pensionable income: contributions are made only of the part of wage between the cap and floor. Specify whether a cap and /or floor applies and state their levels. Cap and floor levels are assumed to grow with price or wage inflation.</a:t>
          </a:r>
        </a:p>
        <a:p>
          <a:endParaRPr lang="en-US" sz="1100" i="1" baseline="0">
            <a:solidFill>
              <a:sysClr val="windowText" lastClr="00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US" sz="1100" b="1" i="1">
              <a:solidFill>
                <a:schemeClr val="dk1"/>
              </a:solidFill>
              <a:effectLst/>
              <a:latin typeface="+mn-lt"/>
              <a:ea typeface="+mn-ea"/>
              <a:cs typeface="+mn-cs"/>
            </a:rPr>
            <a:t>Net hedging effects adverse scenario</a:t>
          </a:r>
          <a:r>
            <a:rPr lang="en-US" sz="1100" b="0" i="1">
              <a:solidFill>
                <a:schemeClr val="dk1"/>
              </a:solidFill>
              <a:effectLst/>
              <a:latin typeface="+mn-lt"/>
              <a:ea typeface="+mn-ea"/>
              <a:cs typeface="+mn-cs"/>
            </a:rPr>
            <a:t> corresponds to the instantaneous impact of the adverse scenario on the value of any derivative instruments to hedge against equity, interest rate, spread and inflation risk. The existing exposures to equity risk (value of equities), interest rate risk (value of fixed income assets, incl. cash), spread risk (value of government and corporate bonds) and inflation risk (value of nominal fixed income assets) are provided as a reference.”</a:t>
          </a:r>
        </a:p>
        <a:p>
          <a:pPr marL="0" marR="0" indent="0" defTabSz="914400" eaLnBrk="1" fontAlgn="auto" latinLnBrk="0" hangingPunct="1">
            <a:lnSpc>
              <a:spcPct val="100000"/>
            </a:lnSpc>
            <a:spcBef>
              <a:spcPts val="0"/>
            </a:spcBef>
            <a:spcAft>
              <a:spcPts val="0"/>
            </a:spcAft>
            <a:buClrTx/>
            <a:buSzTx/>
            <a:buFontTx/>
            <a:buNone/>
            <a:tabLst/>
            <a:defRPr/>
          </a:pPr>
          <a:r>
            <a:rPr lang="en-US" sz="1100" b="1" i="1">
              <a:solidFill>
                <a:schemeClr val="dk1"/>
              </a:solidFill>
              <a:effectLst/>
              <a:latin typeface="+mn-lt"/>
              <a:ea typeface="+mn-ea"/>
              <a:cs typeface="+mn-cs"/>
            </a:rPr>
            <a:t> </a:t>
          </a:r>
        </a:p>
        <a:p>
          <a:pPr marL="0" marR="0" indent="0" defTabSz="914400" eaLnBrk="1" fontAlgn="auto" latinLnBrk="0" hangingPunct="1">
            <a:lnSpc>
              <a:spcPct val="100000"/>
            </a:lnSpc>
            <a:spcBef>
              <a:spcPts val="0"/>
            </a:spcBef>
            <a:spcAft>
              <a:spcPts val="0"/>
            </a:spcAft>
            <a:buClrTx/>
            <a:buSzTx/>
            <a:buFontTx/>
            <a:buNone/>
            <a:tabLst/>
            <a:defRPr/>
          </a:pPr>
          <a:r>
            <a:rPr lang="en-US" sz="1100" b="1" i="1">
              <a:solidFill>
                <a:schemeClr val="dk1"/>
              </a:solidFill>
              <a:effectLst/>
              <a:latin typeface="+mn-lt"/>
              <a:ea typeface="+mn-ea"/>
              <a:cs typeface="+mn-cs"/>
            </a:rPr>
            <a:t>Age-dependent variables: </a:t>
          </a:r>
          <a:r>
            <a:rPr lang="en-US" sz="1100" i="1">
              <a:solidFill>
                <a:schemeClr val="dk1"/>
              </a:solidFill>
              <a:effectLst/>
              <a:latin typeface="+mn-lt"/>
              <a:ea typeface="+mn-ea"/>
              <a:cs typeface="+mn-cs"/>
            </a:rPr>
            <a:t>Contribution rates, Career weight growth and the Asset allocation need to be specified per year to retirement in the table below. </a:t>
          </a:r>
        </a:p>
        <a:p>
          <a:pPr marL="0" marR="0" indent="0" defTabSz="914400" eaLnBrk="1" fontAlgn="auto" latinLnBrk="0" hangingPunct="1">
            <a:lnSpc>
              <a:spcPct val="100000"/>
            </a:lnSpc>
            <a:spcBef>
              <a:spcPts val="0"/>
            </a:spcBef>
            <a:spcAft>
              <a:spcPts val="0"/>
            </a:spcAft>
            <a:buClrTx/>
            <a:buSzTx/>
            <a:buFontTx/>
            <a:buNone/>
            <a:tabLst/>
            <a:defRPr/>
          </a:pPr>
          <a:endParaRPr lang="en-US" sz="1100" i="1">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1" i="1">
              <a:solidFill>
                <a:schemeClr val="dk1"/>
              </a:solidFill>
              <a:effectLst/>
              <a:latin typeface="+mn-lt"/>
              <a:ea typeface="+mn-ea"/>
              <a:cs typeface="+mn-cs"/>
            </a:rPr>
            <a:t>Contribution rates</a:t>
          </a:r>
          <a:r>
            <a:rPr lang="en-US" sz="1100" i="1">
              <a:solidFill>
                <a:schemeClr val="dk1"/>
              </a:solidFill>
              <a:effectLst/>
              <a:latin typeface="+mn-lt"/>
              <a:ea typeface="+mn-ea"/>
              <a:cs typeface="+mn-cs"/>
            </a:rPr>
            <a:t> are specified per year to retirement in tabe below. Contribution rate is defined as the annual pensions savings in the plan a a fraction of pensionable income. Contributions are the</a:t>
          </a:r>
          <a:r>
            <a:rPr lang="en-US" sz="1100" i="1" baseline="0">
              <a:solidFill>
                <a:schemeClr val="dk1"/>
              </a:solidFill>
              <a:effectLst/>
              <a:latin typeface="+mn-lt"/>
              <a:ea typeface="+mn-ea"/>
              <a:cs typeface="+mn-cs"/>
            </a:rPr>
            <a:t> total of contributions made by the member and the employer on the members behalf.</a:t>
          </a:r>
          <a:endParaRPr lang="en-US" sz="1100" i="1">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US" sz="1100" i="1">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b="1" i="1">
              <a:effectLst/>
            </a:rPr>
            <a:t>Career salary growth </a:t>
          </a:r>
          <a:r>
            <a:rPr lang="en-US" b="0" i="1">
              <a:effectLst/>
            </a:rPr>
            <a:t>is</a:t>
          </a:r>
          <a:r>
            <a:rPr lang="en-US" b="0" i="1" baseline="0">
              <a:effectLst/>
            </a:rPr>
            <a:t> d</a:t>
          </a:r>
          <a:r>
            <a:rPr lang="en-US" i="1">
              <a:effectLst/>
            </a:rPr>
            <a:t>efined as the additional annual growth in  salary on top of wage inflation, reflecting career development. Specify per year to retirement in table below. The default value is based on Eurostat earnings growth data. This value can be overriden by specifying a custom value.</a:t>
          </a:r>
        </a:p>
        <a:p>
          <a:pPr marL="0" marR="0" indent="0" defTabSz="914400" eaLnBrk="1" fontAlgn="auto" latinLnBrk="0" hangingPunct="1">
            <a:lnSpc>
              <a:spcPct val="100000"/>
            </a:lnSpc>
            <a:spcBef>
              <a:spcPts val="0"/>
            </a:spcBef>
            <a:spcAft>
              <a:spcPts val="0"/>
            </a:spcAft>
            <a:buClrTx/>
            <a:buSzTx/>
            <a:buFontTx/>
            <a:buNone/>
            <a:tabLst/>
            <a:defRPr/>
          </a:pPr>
          <a:endParaRPr lang="en-US">
            <a:effectLst/>
          </a:endParaRPr>
        </a:p>
        <a:p>
          <a:pPr marL="0" marR="0" indent="0" defTabSz="914400" eaLnBrk="1" fontAlgn="auto" latinLnBrk="0" hangingPunct="1">
            <a:lnSpc>
              <a:spcPct val="100000"/>
            </a:lnSpc>
            <a:spcBef>
              <a:spcPts val="0"/>
            </a:spcBef>
            <a:spcAft>
              <a:spcPts val="0"/>
            </a:spcAft>
            <a:buClrTx/>
            <a:buSzTx/>
            <a:buFontTx/>
            <a:buNone/>
            <a:tabLst/>
            <a:defRPr/>
          </a:pPr>
          <a:r>
            <a:rPr lang="en-US" b="1" i="1">
              <a:effectLst/>
            </a:rPr>
            <a:t>Asset weights</a:t>
          </a:r>
          <a:r>
            <a:rPr lang="en-US" b="0" i="1">
              <a:effectLst/>
            </a:rPr>
            <a:t> are the fractions of pension wealth allocated to the asset classes. Asset weights are specified each year before retirement in the tables below for the Baseline Scenario and Adverse Scenario separately. By default the asset mix for the Adverse Scenario is the same as the asset mix for the Baseline Scenario. The default weights can be overridden in case a dynamic asset allocation strategy is pursued. Please make sure that the weights over all assets sum to 100% for each scenario.</a:t>
          </a:r>
        </a:p>
        <a:p>
          <a:pPr marL="0" marR="0" indent="0" defTabSz="914400" eaLnBrk="1" fontAlgn="auto" latinLnBrk="0" hangingPunct="1">
            <a:lnSpc>
              <a:spcPct val="100000"/>
            </a:lnSpc>
            <a:spcBef>
              <a:spcPts val="0"/>
            </a:spcBef>
            <a:spcAft>
              <a:spcPts val="0"/>
            </a:spcAft>
            <a:buClrTx/>
            <a:buSzTx/>
            <a:buFontTx/>
            <a:buNone/>
            <a:tabLst/>
            <a:defRPr/>
          </a:pPr>
          <a:endParaRPr lang="en-US" b="0" i="1" baseline="0">
            <a:effectLst/>
          </a:endParaRPr>
        </a:p>
        <a:p>
          <a:pPr marL="0" marR="0" indent="0" defTabSz="914400" eaLnBrk="1" fontAlgn="auto" latinLnBrk="0" hangingPunct="1">
            <a:lnSpc>
              <a:spcPct val="100000"/>
            </a:lnSpc>
            <a:spcBef>
              <a:spcPts val="0"/>
            </a:spcBef>
            <a:spcAft>
              <a:spcPts val="0"/>
            </a:spcAft>
            <a:buClrTx/>
            <a:buSzTx/>
            <a:buFontTx/>
            <a:buNone/>
            <a:tabLst/>
            <a:defRPr/>
          </a:pPr>
          <a:r>
            <a:rPr lang="en-US" b="1" i="1" baseline="0">
              <a:effectLst/>
            </a:rPr>
            <a:t>Projected real salary</a:t>
          </a:r>
          <a:r>
            <a:rPr lang="en-US" b="0" i="1" baseline="0">
              <a:effectLst/>
            </a:rPr>
            <a:t> is presented only as a reference. It shows the projected path in salary expressed in real terms, i.e. in local currency value per end 2016. The projection grows with an assumed real wage growth of 1% per year plus the career saary growth.</a:t>
          </a:r>
          <a:endParaRPr lang="en-US" sz="1100" i="1">
            <a:solidFill>
              <a:sysClr val="windowText" lastClr="000000"/>
            </a:solidFill>
          </a:endParaRPr>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5</xdr:col>
      <xdr:colOff>999605</xdr:colOff>
      <xdr:row>6</xdr:row>
      <xdr:rowOff>130752</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28850" y="190500"/>
          <a:ext cx="1799705" cy="122612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6</xdr:col>
          <xdr:colOff>57150</xdr:colOff>
          <xdr:row>58</xdr:row>
          <xdr:rowOff>19050</xdr:rowOff>
        </xdr:from>
        <xdr:to>
          <xdr:col>6</xdr:col>
          <xdr:colOff>276225</xdr:colOff>
          <xdr:row>58</xdr:row>
          <xdr:rowOff>219075</xdr:rowOff>
        </xdr:to>
        <xdr:sp macro="" textlink="">
          <xdr:nvSpPr>
            <xdr:cNvPr id="301101" name="Check Box 45" hidden="1">
              <a:extLst>
                <a:ext uri="{63B3BB69-23CF-44E3-9099-C40C66FF867C}">
                  <a14:compatExt spid="_x0000_s301101"/>
                </a:ext>
                <a:ext uri="{FF2B5EF4-FFF2-40B4-BE49-F238E27FC236}">
                  <a16:creationId xmlns:a16="http://schemas.microsoft.com/office/drawing/2014/main" id="{00000000-0008-0000-0B00-00002D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59</xdr:row>
          <xdr:rowOff>19050</xdr:rowOff>
        </xdr:from>
        <xdr:to>
          <xdr:col>6</xdr:col>
          <xdr:colOff>276225</xdr:colOff>
          <xdr:row>59</xdr:row>
          <xdr:rowOff>219075</xdr:rowOff>
        </xdr:to>
        <xdr:sp macro="" textlink="">
          <xdr:nvSpPr>
            <xdr:cNvPr id="301102" name="Check Box 46" hidden="1">
              <a:extLst>
                <a:ext uri="{63B3BB69-23CF-44E3-9099-C40C66FF867C}">
                  <a14:compatExt spid="_x0000_s301102"/>
                </a:ext>
                <a:ext uri="{FF2B5EF4-FFF2-40B4-BE49-F238E27FC236}">
                  <a16:creationId xmlns:a16="http://schemas.microsoft.com/office/drawing/2014/main" id="{00000000-0008-0000-0B00-00002E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60</xdr:row>
          <xdr:rowOff>19050</xdr:rowOff>
        </xdr:from>
        <xdr:to>
          <xdr:col>6</xdr:col>
          <xdr:colOff>276225</xdr:colOff>
          <xdr:row>60</xdr:row>
          <xdr:rowOff>219075</xdr:rowOff>
        </xdr:to>
        <xdr:sp macro="" textlink="">
          <xdr:nvSpPr>
            <xdr:cNvPr id="301103" name="Check Box 47" hidden="1">
              <a:extLst>
                <a:ext uri="{63B3BB69-23CF-44E3-9099-C40C66FF867C}">
                  <a14:compatExt spid="_x0000_s301103"/>
                </a:ext>
                <a:ext uri="{FF2B5EF4-FFF2-40B4-BE49-F238E27FC236}">
                  <a16:creationId xmlns:a16="http://schemas.microsoft.com/office/drawing/2014/main" id="{00000000-0008-0000-0B00-00002F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61</xdr:row>
          <xdr:rowOff>19050</xdr:rowOff>
        </xdr:from>
        <xdr:to>
          <xdr:col>6</xdr:col>
          <xdr:colOff>276225</xdr:colOff>
          <xdr:row>61</xdr:row>
          <xdr:rowOff>219075</xdr:rowOff>
        </xdr:to>
        <xdr:sp macro="" textlink="">
          <xdr:nvSpPr>
            <xdr:cNvPr id="301104" name="Check Box 48" hidden="1">
              <a:extLst>
                <a:ext uri="{63B3BB69-23CF-44E3-9099-C40C66FF867C}">
                  <a14:compatExt spid="_x0000_s301104"/>
                </a:ext>
                <a:ext uri="{FF2B5EF4-FFF2-40B4-BE49-F238E27FC236}">
                  <a16:creationId xmlns:a16="http://schemas.microsoft.com/office/drawing/2014/main" id="{00000000-0008-0000-0B00-000030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62</xdr:row>
          <xdr:rowOff>19050</xdr:rowOff>
        </xdr:from>
        <xdr:to>
          <xdr:col>6</xdr:col>
          <xdr:colOff>276225</xdr:colOff>
          <xdr:row>62</xdr:row>
          <xdr:rowOff>219075</xdr:rowOff>
        </xdr:to>
        <xdr:sp macro="" textlink="">
          <xdr:nvSpPr>
            <xdr:cNvPr id="301105" name="Check Box 49" hidden="1">
              <a:extLst>
                <a:ext uri="{63B3BB69-23CF-44E3-9099-C40C66FF867C}">
                  <a14:compatExt spid="_x0000_s301105"/>
                </a:ext>
                <a:ext uri="{FF2B5EF4-FFF2-40B4-BE49-F238E27FC236}">
                  <a16:creationId xmlns:a16="http://schemas.microsoft.com/office/drawing/2014/main" id="{00000000-0008-0000-0B00-000031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6</xdr:col>
          <xdr:colOff>57150</xdr:colOff>
          <xdr:row>45</xdr:row>
          <xdr:rowOff>19050</xdr:rowOff>
        </xdr:from>
        <xdr:ext cx="219075" cy="200025"/>
        <xdr:sp macro="" textlink="">
          <xdr:nvSpPr>
            <xdr:cNvPr id="301108" name="Check Box 52" hidden="1">
              <a:extLst>
                <a:ext uri="{63B3BB69-23CF-44E3-9099-C40C66FF867C}">
                  <a14:compatExt spid="_x0000_s301108"/>
                </a:ext>
                <a:ext uri="{FF2B5EF4-FFF2-40B4-BE49-F238E27FC236}">
                  <a16:creationId xmlns:a16="http://schemas.microsoft.com/office/drawing/2014/main" id="{00000000-0008-0000-0B00-00002D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xdr:col>
          <xdr:colOff>57150</xdr:colOff>
          <xdr:row>46</xdr:row>
          <xdr:rowOff>19050</xdr:rowOff>
        </xdr:from>
        <xdr:ext cx="219075" cy="200025"/>
        <xdr:sp macro="" textlink="">
          <xdr:nvSpPr>
            <xdr:cNvPr id="301109" name="Check Box 53" hidden="1">
              <a:extLst>
                <a:ext uri="{63B3BB69-23CF-44E3-9099-C40C66FF867C}">
                  <a14:compatExt spid="_x0000_s301109"/>
                </a:ext>
                <a:ext uri="{FF2B5EF4-FFF2-40B4-BE49-F238E27FC236}">
                  <a16:creationId xmlns:a16="http://schemas.microsoft.com/office/drawing/2014/main" id="{00000000-0008-0000-0B00-00002E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xdr:col>
          <xdr:colOff>57150</xdr:colOff>
          <xdr:row>47</xdr:row>
          <xdr:rowOff>19050</xdr:rowOff>
        </xdr:from>
        <xdr:ext cx="219075" cy="200025"/>
        <xdr:sp macro="" textlink="">
          <xdr:nvSpPr>
            <xdr:cNvPr id="301110" name="Check Box 54" hidden="1">
              <a:extLst>
                <a:ext uri="{63B3BB69-23CF-44E3-9099-C40C66FF867C}">
                  <a14:compatExt spid="_x0000_s301110"/>
                </a:ext>
                <a:ext uri="{FF2B5EF4-FFF2-40B4-BE49-F238E27FC236}">
                  <a16:creationId xmlns:a16="http://schemas.microsoft.com/office/drawing/2014/main" id="{00000000-0008-0000-0B00-00002F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xdr:col>
          <xdr:colOff>57150</xdr:colOff>
          <xdr:row>48</xdr:row>
          <xdr:rowOff>19050</xdr:rowOff>
        </xdr:from>
        <xdr:ext cx="219075" cy="200025"/>
        <xdr:sp macro="" textlink="">
          <xdr:nvSpPr>
            <xdr:cNvPr id="301111" name="Check Box 55" hidden="1">
              <a:extLst>
                <a:ext uri="{63B3BB69-23CF-44E3-9099-C40C66FF867C}">
                  <a14:compatExt spid="_x0000_s301111"/>
                </a:ext>
                <a:ext uri="{FF2B5EF4-FFF2-40B4-BE49-F238E27FC236}">
                  <a16:creationId xmlns:a16="http://schemas.microsoft.com/office/drawing/2014/main" id="{00000000-0008-0000-0B00-000030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xdr:col>
          <xdr:colOff>57150</xdr:colOff>
          <xdr:row>49</xdr:row>
          <xdr:rowOff>19050</xdr:rowOff>
        </xdr:from>
        <xdr:ext cx="219075" cy="200025"/>
        <xdr:sp macro="" textlink="">
          <xdr:nvSpPr>
            <xdr:cNvPr id="301112" name="Check Box 56" hidden="1">
              <a:extLst>
                <a:ext uri="{63B3BB69-23CF-44E3-9099-C40C66FF867C}">
                  <a14:compatExt spid="_x0000_s301112"/>
                </a:ext>
                <a:ext uri="{FF2B5EF4-FFF2-40B4-BE49-F238E27FC236}">
                  <a16:creationId xmlns:a16="http://schemas.microsoft.com/office/drawing/2014/main" id="{00000000-0008-0000-0B00-000031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xdr:col>
          <xdr:colOff>57150</xdr:colOff>
          <xdr:row>50</xdr:row>
          <xdr:rowOff>19050</xdr:rowOff>
        </xdr:from>
        <xdr:ext cx="219075" cy="200025"/>
        <xdr:sp macro="" textlink="">
          <xdr:nvSpPr>
            <xdr:cNvPr id="301113" name="Check Box 57" hidden="1">
              <a:extLst>
                <a:ext uri="{63B3BB69-23CF-44E3-9099-C40C66FF867C}">
                  <a14:compatExt spid="_x0000_s301113"/>
                </a:ext>
                <a:ext uri="{FF2B5EF4-FFF2-40B4-BE49-F238E27FC236}">
                  <a16:creationId xmlns:a16="http://schemas.microsoft.com/office/drawing/2014/main" id="{00000000-0008-0000-0B00-000031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xdr:col>
          <xdr:colOff>57150</xdr:colOff>
          <xdr:row>51</xdr:row>
          <xdr:rowOff>19050</xdr:rowOff>
        </xdr:from>
        <xdr:ext cx="219075" cy="200025"/>
        <xdr:sp macro="" textlink="">
          <xdr:nvSpPr>
            <xdr:cNvPr id="301114" name="Check Box 58" hidden="1">
              <a:extLst>
                <a:ext uri="{63B3BB69-23CF-44E3-9099-C40C66FF867C}">
                  <a14:compatExt spid="_x0000_s301114"/>
                </a:ext>
                <a:ext uri="{FF2B5EF4-FFF2-40B4-BE49-F238E27FC236}">
                  <a16:creationId xmlns:a16="http://schemas.microsoft.com/office/drawing/2014/main" id="{00000000-0008-0000-0B00-000031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xdr:col>
          <xdr:colOff>57150</xdr:colOff>
          <xdr:row>63</xdr:row>
          <xdr:rowOff>19050</xdr:rowOff>
        </xdr:from>
        <xdr:ext cx="219075" cy="200025"/>
        <xdr:sp macro="" textlink="">
          <xdr:nvSpPr>
            <xdr:cNvPr id="301115" name="Check Box 59" hidden="1">
              <a:extLst>
                <a:ext uri="{63B3BB69-23CF-44E3-9099-C40C66FF867C}">
                  <a14:compatExt spid="_x0000_s301115"/>
                </a:ext>
                <a:ext uri="{FF2B5EF4-FFF2-40B4-BE49-F238E27FC236}">
                  <a16:creationId xmlns:a16="http://schemas.microsoft.com/office/drawing/2014/main" id="{00000000-0008-0000-0B00-0000319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drawings/drawing12.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5</xdr:col>
      <xdr:colOff>113780</xdr:colOff>
      <xdr:row>6</xdr:row>
      <xdr:rowOff>130752</xdr:rowOff>
    </xdr:to>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28850" y="190500"/>
          <a:ext cx="1799705" cy="1226127"/>
        </a:xfrm>
        <a:prstGeom prst="rect">
          <a:avLst/>
        </a:prstGeom>
      </xdr:spPr>
    </xdr:pic>
    <xdr:clientData/>
  </xdr:twoCellAnchor>
  <xdr:twoCellAnchor>
    <xdr:from>
      <xdr:col>3</xdr:col>
      <xdr:colOff>0</xdr:colOff>
      <xdr:row>10</xdr:row>
      <xdr:rowOff>0</xdr:rowOff>
    </xdr:from>
    <xdr:to>
      <xdr:col>12</xdr:col>
      <xdr:colOff>266700</xdr:colOff>
      <xdr:row>14</xdr:row>
      <xdr:rowOff>123825</xdr:rowOff>
    </xdr:to>
    <xdr:sp macro="" textlink="">
      <xdr:nvSpPr>
        <xdr:cNvPr id="4" name="TextBox 3">
          <a:extLst>
            <a:ext uri="{FF2B5EF4-FFF2-40B4-BE49-F238E27FC236}">
              <a16:creationId xmlns:a16="http://schemas.microsoft.com/office/drawing/2014/main" id="{00000000-0008-0000-1000-000004000000}"/>
            </a:ext>
          </a:extLst>
        </xdr:cNvPr>
        <xdr:cNvSpPr txBox="1"/>
      </xdr:nvSpPr>
      <xdr:spPr>
        <a:xfrm>
          <a:off x="2705100" y="2124075"/>
          <a:ext cx="5743575"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Make sure that all the input forms are properly filled out. Below</a:t>
          </a:r>
          <a:r>
            <a:rPr lang="en-US" sz="1100" baseline="0"/>
            <a:t> is automatically indicated whether any validation issues are found. An example of a validation issue is when the asset weights do not add up to 100%. If validation issues are found, co to the corresponding sheet and correct the input.</a:t>
          </a:r>
          <a:endParaRPr lang="en-US" sz="1100"/>
        </a:p>
      </xdr:txBody>
    </xdr:sp>
    <xdr:clientData/>
  </xdr:twoCellAnchor>
  <xdr:twoCellAnchor>
    <xdr:from>
      <xdr:col>3</xdr:col>
      <xdr:colOff>0</xdr:colOff>
      <xdr:row>25</xdr:row>
      <xdr:rowOff>0</xdr:rowOff>
    </xdr:from>
    <xdr:to>
      <xdr:col>12</xdr:col>
      <xdr:colOff>266700</xdr:colOff>
      <xdr:row>28</xdr:row>
      <xdr:rowOff>0</xdr:rowOff>
    </xdr:to>
    <xdr:sp macro="" textlink="">
      <xdr:nvSpPr>
        <xdr:cNvPr id="5" name="TextBox 4">
          <a:extLst>
            <a:ext uri="{FF2B5EF4-FFF2-40B4-BE49-F238E27FC236}">
              <a16:creationId xmlns:a16="http://schemas.microsoft.com/office/drawing/2014/main" id="{00000000-0008-0000-1000-000005000000}"/>
            </a:ext>
          </a:extLst>
        </xdr:cNvPr>
        <xdr:cNvSpPr txBox="1"/>
      </xdr:nvSpPr>
      <xdr:spPr>
        <a:xfrm>
          <a:off x="2705100" y="4943475"/>
          <a:ext cx="5743575" cy="571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If all input forms are properly filled out, then make</a:t>
          </a:r>
          <a:r>
            <a:rPr lang="en-US" sz="1100" baseline="0"/>
            <a:t> sure you save this file .</a:t>
          </a:r>
          <a:endParaRPr lang="en-US" sz="1100"/>
        </a:p>
      </xdr:txBody>
    </xdr:sp>
    <xdr:clientData/>
  </xdr:twoCellAnchor>
  <xdr:twoCellAnchor>
    <xdr:from>
      <xdr:col>2</xdr:col>
      <xdr:colOff>466725</xdr:colOff>
      <xdr:row>36</xdr:row>
      <xdr:rowOff>123825</xdr:rowOff>
    </xdr:from>
    <xdr:to>
      <xdr:col>12</xdr:col>
      <xdr:colOff>257175</xdr:colOff>
      <xdr:row>38</xdr:row>
      <xdr:rowOff>133351</xdr:rowOff>
    </xdr:to>
    <xdr:sp macro="" textlink="">
      <xdr:nvSpPr>
        <xdr:cNvPr id="6" name="TextBox 5">
          <a:extLst>
            <a:ext uri="{FF2B5EF4-FFF2-40B4-BE49-F238E27FC236}">
              <a16:creationId xmlns:a16="http://schemas.microsoft.com/office/drawing/2014/main" id="{00000000-0008-0000-1000-000006000000}"/>
            </a:ext>
          </a:extLst>
        </xdr:cNvPr>
        <xdr:cNvSpPr txBox="1"/>
      </xdr:nvSpPr>
      <xdr:spPr>
        <a:xfrm>
          <a:off x="2695575" y="6934200"/>
          <a:ext cx="5743575" cy="3905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i="0">
              <a:solidFill>
                <a:schemeClr val="dk1"/>
              </a:solidFill>
              <a:effectLst/>
              <a:latin typeface="+mn-lt"/>
              <a:ea typeface="+mn-ea"/>
              <a:cs typeface="+mn-cs"/>
            </a:rPr>
            <a:t>After completion,</a:t>
          </a:r>
          <a:r>
            <a:rPr lang="en-GB" sz="1100" i="0" baseline="0">
              <a:solidFill>
                <a:schemeClr val="dk1"/>
              </a:solidFill>
              <a:effectLst/>
              <a:latin typeface="+mn-lt"/>
              <a:ea typeface="+mn-ea"/>
              <a:cs typeface="+mn-cs"/>
            </a:rPr>
            <a:t> you are asked to submit the generated report template.</a:t>
          </a:r>
        </a:p>
      </xdr:txBody>
    </xdr:sp>
    <xdr:clientData/>
  </xdr:twoCellAnchor>
  <xdr:twoCellAnchor>
    <xdr:from>
      <xdr:col>3</xdr:col>
      <xdr:colOff>0</xdr:colOff>
      <xdr:row>30</xdr:row>
      <xdr:rowOff>266699</xdr:rowOff>
    </xdr:from>
    <xdr:to>
      <xdr:col>12</xdr:col>
      <xdr:colOff>266700</xdr:colOff>
      <xdr:row>34</xdr:row>
      <xdr:rowOff>142874</xdr:rowOff>
    </xdr:to>
    <xdr:sp macro="" textlink="">
      <xdr:nvSpPr>
        <xdr:cNvPr id="7" name="TextBox 6">
          <a:extLst>
            <a:ext uri="{FF2B5EF4-FFF2-40B4-BE49-F238E27FC236}">
              <a16:creationId xmlns:a16="http://schemas.microsoft.com/office/drawing/2014/main" id="{00000000-0008-0000-1000-000007000000}"/>
            </a:ext>
          </a:extLst>
        </xdr:cNvPr>
        <xdr:cNvSpPr txBox="1"/>
      </xdr:nvSpPr>
      <xdr:spPr>
        <a:xfrm>
          <a:off x="2705100" y="5781674"/>
          <a:ext cx="5743575" cy="714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a:t>
          </a:r>
          <a:r>
            <a:rPr lang="en-US" sz="1100" baseline="0"/>
            <a:t> DC calculation spreadsheet tool is distributed as part of the stress test package.  Please use the calculation tool to load the saved template under 2 and run the exercise generating the report. This allows you to inspect the outcomes of the DC module exercise before submission.</a:t>
          </a:r>
          <a:endParaRPr lang="en-US" sz="1100"/>
        </a:p>
      </xdr:txBody>
    </xdr:sp>
    <xdr:clientData/>
  </xdr:twoCellAnchor>
  <mc:AlternateContent xmlns:mc="http://schemas.openxmlformats.org/markup-compatibility/2006">
    <mc:Choice xmlns:a14="http://schemas.microsoft.com/office/drawing/2010/main" Requires="a14">
      <xdr:twoCellAnchor editAs="oneCell">
        <xdr:from>
          <xdr:col>3</xdr:col>
          <xdr:colOff>114300</xdr:colOff>
          <xdr:row>27</xdr:row>
          <xdr:rowOff>28575</xdr:rowOff>
        </xdr:from>
        <xdr:to>
          <xdr:col>5</xdr:col>
          <xdr:colOff>266700</xdr:colOff>
          <xdr:row>29</xdr:row>
          <xdr:rowOff>76200</xdr:rowOff>
        </xdr:to>
        <xdr:sp macro="" textlink="">
          <xdr:nvSpPr>
            <xdr:cNvPr id="305153" name="cbSaveInputTemplate" hidden="1">
              <a:extLst>
                <a:ext uri="{63B3BB69-23CF-44E3-9099-C40C66FF867C}">
                  <a14:compatExt spid="_x0000_s3051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6</xdr:col>
      <xdr:colOff>351905</xdr:colOff>
      <xdr:row>7</xdr:row>
      <xdr:rowOff>130752</xdr:rowOff>
    </xdr:to>
    <xdr:pic>
      <xdr:nvPicPr>
        <xdr:cNvPr id="3" name="Picture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47850" y="0"/>
          <a:ext cx="1799705" cy="1226127"/>
        </a:xfrm>
        <a:prstGeom prst="rect">
          <a:avLst/>
        </a:prstGeom>
      </xdr:spPr>
    </xdr:pic>
    <xdr:clientData/>
  </xdr:twoCellAnchor>
  <xdr:twoCellAnchor>
    <xdr:from>
      <xdr:col>2</xdr:col>
      <xdr:colOff>581024</xdr:colOff>
      <xdr:row>74</xdr:row>
      <xdr:rowOff>0</xdr:rowOff>
    </xdr:from>
    <xdr:to>
      <xdr:col>15</xdr:col>
      <xdr:colOff>0</xdr:colOff>
      <xdr:row>91</xdr:row>
      <xdr:rowOff>57150</xdr:rowOff>
    </xdr:to>
    <xdr:graphicFrame macro="">
      <xdr:nvGraphicFramePr>
        <xdr:cNvPr id="4" name="Chart 3">
          <a:extLst>
            <a:ext uri="{FF2B5EF4-FFF2-40B4-BE49-F238E27FC236}">
              <a16:creationId xmlns:a16="http://schemas.microsoft.com/office/drawing/2014/main" id="{00000000-0008-0000-1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74</xdr:row>
      <xdr:rowOff>0</xdr:rowOff>
    </xdr:from>
    <xdr:to>
      <xdr:col>26</xdr:col>
      <xdr:colOff>504826</xdr:colOff>
      <xdr:row>91</xdr:row>
      <xdr:rowOff>57150</xdr:rowOff>
    </xdr:to>
    <xdr:graphicFrame macro="">
      <xdr:nvGraphicFramePr>
        <xdr:cNvPr id="5" name="Chart 4">
          <a:extLst>
            <a:ext uri="{FF2B5EF4-FFF2-40B4-BE49-F238E27FC236}">
              <a16:creationId xmlns:a16="http://schemas.microsoft.com/office/drawing/2014/main" id="{00000000-0008-0000-1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6</xdr:col>
      <xdr:colOff>351905</xdr:colOff>
      <xdr:row>7</xdr:row>
      <xdr:rowOff>130752</xdr:rowOff>
    </xdr:to>
    <xdr:pic>
      <xdr:nvPicPr>
        <xdr:cNvPr id="2" name="Picture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47850" y="381000"/>
          <a:ext cx="1799705" cy="1226127"/>
        </a:xfrm>
        <a:prstGeom prst="rect">
          <a:avLst/>
        </a:prstGeom>
      </xdr:spPr>
    </xdr:pic>
    <xdr:clientData/>
  </xdr:twoCellAnchor>
  <xdr:twoCellAnchor>
    <xdr:from>
      <xdr:col>2</xdr:col>
      <xdr:colOff>581024</xdr:colOff>
      <xdr:row>74</xdr:row>
      <xdr:rowOff>0</xdr:rowOff>
    </xdr:from>
    <xdr:to>
      <xdr:col>15</xdr:col>
      <xdr:colOff>0</xdr:colOff>
      <xdr:row>91</xdr:row>
      <xdr:rowOff>57150</xdr:rowOff>
    </xdr:to>
    <xdr:graphicFrame macro="">
      <xdr:nvGraphicFramePr>
        <xdr:cNvPr id="3" name="Chart 2">
          <a:extLst>
            <a:ext uri="{FF2B5EF4-FFF2-40B4-BE49-F238E27FC236}">
              <a16:creationId xmlns:a16="http://schemas.microsoft.com/office/drawing/2014/main" id="{00000000-0008-0000-1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74</xdr:row>
      <xdr:rowOff>0</xdr:rowOff>
    </xdr:from>
    <xdr:to>
      <xdr:col>27</xdr:col>
      <xdr:colOff>24093</xdr:colOff>
      <xdr:row>91</xdr:row>
      <xdr:rowOff>57150</xdr:rowOff>
    </xdr:to>
    <xdr:graphicFrame macro="">
      <xdr:nvGraphicFramePr>
        <xdr:cNvPr id="4" name="Chart 3">
          <a:extLst>
            <a:ext uri="{FF2B5EF4-FFF2-40B4-BE49-F238E27FC236}">
              <a16:creationId xmlns:a16="http://schemas.microsoft.com/office/drawing/2014/main" id="{00000000-0008-0000-1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6</xdr:col>
      <xdr:colOff>590030</xdr:colOff>
      <xdr:row>7</xdr:row>
      <xdr:rowOff>130752</xdr:rowOff>
    </xdr:to>
    <xdr:pic>
      <xdr:nvPicPr>
        <xdr:cNvPr id="2" name="Picture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47850" y="381000"/>
          <a:ext cx="1799705" cy="1226127"/>
        </a:xfrm>
        <a:prstGeom prst="rect">
          <a:avLst/>
        </a:prstGeom>
      </xdr:spPr>
    </xdr:pic>
    <xdr:clientData/>
  </xdr:twoCellAnchor>
  <xdr:twoCellAnchor>
    <xdr:from>
      <xdr:col>2</xdr:col>
      <xdr:colOff>581024</xdr:colOff>
      <xdr:row>73</xdr:row>
      <xdr:rowOff>133350</xdr:rowOff>
    </xdr:from>
    <xdr:to>
      <xdr:col>15</xdr:col>
      <xdr:colOff>0</xdr:colOff>
      <xdr:row>91</xdr:row>
      <xdr:rowOff>0</xdr:rowOff>
    </xdr:to>
    <xdr:graphicFrame macro="">
      <xdr:nvGraphicFramePr>
        <xdr:cNvPr id="3" name="Chart 2">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73</xdr:row>
      <xdr:rowOff>133350</xdr:rowOff>
    </xdr:from>
    <xdr:to>
      <xdr:col>26</xdr:col>
      <xdr:colOff>581026</xdr:colOff>
      <xdr:row>91</xdr:row>
      <xdr:rowOff>0</xdr:rowOff>
    </xdr:to>
    <xdr:graphicFrame macro="">
      <xdr:nvGraphicFramePr>
        <xdr:cNvPr id="4" name="Chart 3">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1752600</xdr:colOff>
          <xdr:row>0</xdr:row>
          <xdr:rowOff>95250</xdr:rowOff>
        </xdr:from>
        <xdr:to>
          <xdr:col>8</xdr:col>
          <xdr:colOff>333375</xdr:colOff>
          <xdr:row>2</xdr:row>
          <xdr:rowOff>57150</xdr:rowOff>
        </xdr:to>
        <xdr:sp macro="" textlink="">
          <xdr:nvSpPr>
            <xdr:cNvPr id="204805" name="Button 5" hidden="1">
              <a:extLst>
                <a:ext uri="{63B3BB69-23CF-44E3-9099-C40C66FF867C}">
                  <a14:compatExt spid="_x0000_s204805"/>
                </a:ext>
                <a:ext uri="{FF2B5EF4-FFF2-40B4-BE49-F238E27FC236}">
                  <a16:creationId xmlns:a16="http://schemas.microsoft.com/office/drawing/2014/main" id="{00000000-0008-0000-0200-0000052003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GB" sz="1100" b="0" i="0" u="none" strike="noStrike" baseline="0">
                  <a:solidFill>
                    <a:srgbClr val="000000"/>
                  </a:solidFill>
                  <a:latin typeface="Calibri"/>
                  <a:cs typeface="Calibri"/>
                </a:rPr>
                <a:t>Activate Worksheet style settings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8</xdr:col>
          <xdr:colOff>847725</xdr:colOff>
          <xdr:row>0</xdr:row>
          <xdr:rowOff>180975</xdr:rowOff>
        </xdr:from>
        <xdr:to>
          <xdr:col>12</xdr:col>
          <xdr:colOff>495300</xdr:colOff>
          <xdr:row>1</xdr:row>
          <xdr:rowOff>447675</xdr:rowOff>
        </xdr:to>
        <xdr:sp macro="" textlink="">
          <xdr:nvSpPr>
            <xdr:cNvPr id="204808" name="Button 8" hidden="1">
              <a:extLst>
                <a:ext uri="{63B3BB69-23CF-44E3-9099-C40C66FF867C}">
                  <a14:compatExt spid="_x0000_s204808"/>
                </a:ext>
                <a:ext uri="{FF2B5EF4-FFF2-40B4-BE49-F238E27FC236}">
                  <a16:creationId xmlns:a16="http://schemas.microsoft.com/office/drawing/2014/main" id="{00000000-0008-0000-0200-0000082003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GB" sz="1100" b="0" i="0" u="none" strike="noStrike" baseline="0">
                  <a:solidFill>
                    <a:srgbClr val="000000"/>
                  </a:solidFill>
                  <a:latin typeface="Calibri"/>
                  <a:cs typeface="Calibri"/>
                </a:rPr>
                <a:t>Setup simulations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247650</xdr:colOff>
          <xdr:row>0</xdr:row>
          <xdr:rowOff>114300</xdr:rowOff>
        </xdr:from>
        <xdr:to>
          <xdr:col>6</xdr:col>
          <xdr:colOff>1543050</xdr:colOff>
          <xdr:row>2</xdr:row>
          <xdr:rowOff>76200</xdr:rowOff>
        </xdr:to>
        <xdr:sp macro="" textlink="">
          <xdr:nvSpPr>
            <xdr:cNvPr id="204811" name="Button 11" hidden="1">
              <a:extLst>
                <a:ext uri="{63B3BB69-23CF-44E3-9099-C40C66FF867C}">
                  <a14:compatExt spid="_x0000_s204811"/>
                </a:ext>
                <a:ext uri="{FF2B5EF4-FFF2-40B4-BE49-F238E27FC236}">
                  <a16:creationId xmlns:a16="http://schemas.microsoft.com/office/drawing/2014/main" id="{00000000-0008-0000-0200-00000B2003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GB" sz="1100" b="0" i="0" u="none" strike="noStrike" baseline="0">
                  <a:solidFill>
                    <a:srgbClr val="000000"/>
                  </a:solidFill>
                  <a:latin typeface="Calibri"/>
                  <a:cs typeface="Calibri"/>
                </a:rPr>
                <a:t>Package tool</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5</xdr:col>
      <xdr:colOff>113780</xdr:colOff>
      <xdr:row>5</xdr:row>
      <xdr:rowOff>35502</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28850" y="190500"/>
          <a:ext cx="1799705" cy="1226127"/>
        </a:xfrm>
        <a:prstGeom prst="rect">
          <a:avLst/>
        </a:prstGeom>
      </xdr:spPr>
    </xdr:pic>
    <xdr:clientData/>
  </xdr:twoCellAnchor>
  <mc:AlternateContent xmlns:mc="http://schemas.openxmlformats.org/markup-compatibility/2006">
    <mc:Choice xmlns:a14="http://schemas.microsoft.com/office/drawing/2010/main" Requires="a14">
      <xdr:twoCellAnchor>
        <xdr:from>
          <xdr:col>4</xdr:col>
          <xdr:colOff>342900</xdr:colOff>
          <xdr:row>24</xdr:row>
          <xdr:rowOff>19050</xdr:rowOff>
        </xdr:from>
        <xdr:to>
          <xdr:col>9</xdr:col>
          <xdr:colOff>342900</xdr:colOff>
          <xdr:row>27</xdr:row>
          <xdr:rowOff>171450</xdr:rowOff>
        </xdr:to>
        <xdr:sp macro="" textlink="">
          <xdr:nvSpPr>
            <xdr:cNvPr id="253953" name="Button 1" hidden="1">
              <a:extLst>
                <a:ext uri="{63B3BB69-23CF-44E3-9099-C40C66FF867C}">
                  <a14:compatExt spid="_x0000_s253953"/>
                </a:ext>
                <a:ext uri="{FF2B5EF4-FFF2-40B4-BE49-F238E27FC236}">
                  <a16:creationId xmlns:a16="http://schemas.microsoft.com/office/drawing/2014/main" id="{00000000-0008-0000-0300-000001E003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GB" sz="1200" b="1" i="0" u="none" strike="noStrike" baseline="0">
                  <a:solidFill>
                    <a:srgbClr val="000000"/>
                  </a:solidFill>
                  <a:latin typeface="Calibri"/>
                  <a:cs typeface="Calibri"/>
                </a:rPr>
                <a:t>Load reporting template &amp; make reports</a:t>
              </a:r>
            </a:p>
          </xdr:txBody>
        </xdr:sp>
        <xdr:clientData fPrintsWithSheet="0"/>
      </xdr:twoCellAnchor>
    </mc:Choice>
    <mc:Fallback/>
  </mc:AlternateContent>
  <xdr:twoCellAnchor>
    <xdr:from>
      <xdr:col>3</xdr:col>
      <xdr:colOff>0</xdr:colOff>
      <xdr:row>10</xdr:row>
      <xdr:rowOff>38101</xdr:rowOff>
    </xdr:from>
    <xdr:to>
      <xdr:col>12</xdr:col>
      <xdr:colOff>195262</xdr:colOff>
      <xdr:row>15</xdr:row>
      <xdr:rowOff>142875</xdr:rowOff>
    </xdr:to>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2705100" y="2600326"/>
          <a:ext cx="5700712" cy="11810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calculation tool is part of the stress test package</a:t>
          </a:r>
          <a:r>
            <a:rPr lang="en-US" sz="1100" baseline="0"/>
            <a:t> of the IORP Stress Test 2019.</a:t>
          </a:r>
        </a:p>
        <a:p>
          <a:r>
            <a:rPr lang="en-US" sz="1100" baseline="0"/>
            <a:t>IORPS participating in  the DC module are asked to:</a:t>
          </a:r>
        </a:p>
        <a:p>
          <a:r>
            <a:rPr lang="en-US" sz="1100" baseline="0"/>
            <a:t>1. Complete the DC input template spreadsheet;</a:t>
          </a:r>
        </a:p>
        <a:p>
          <a:r>
            <a:rPr lang="en-US" sz="1100" baseline="0"/>
            <a:t>2. Process the input template by use of the calculation tool.</a:t>
          </a:r>
        </a:p>
        <a:p>
          <a:r>
            <a:rPr lang="en-US" sz="1100" baseline="0"/>
            <a:t> The tool performs all the calculations required by the exercise and produces a report template with the outcomes. </a:t>
          </a:r>
        </a:p>
        <a:p>
          <a:endParaRPr lang="en-US" sz="1100" baseline="0"/>
        </a:p>
        <a:p>
          <a:endParaRPr lang="en-US" sz="1100"/>
        </a:p>
      </xdr:txBody>
    </xdr:sp>
    <xdr:clientData/>
  </xdr:twoCellAnchor>
  <xdr:twoCellAnchor>
    <xdr:from>
      <xdr:col>3</xdr:col>
      <xdr:colOff>0</xdr:colOff>
      <xdr:row>17</xdr:row>
      <xdr:rowOff>0</xdr:rowOff>
    </xdr:from>
    <xdr:to>
      <xdr:col>12</xdr:col>
      <xdr:colOff>195262</xdr:colOff>
      <xdr:row>22</xdr:row>
      <xdr:rowOff>83342</xdr:rowOff>
    </xdr:to>
    <xdr:sp macro="" textlink="">
      <xdr:nvSpPr>
        <xdr:cNvPr id="7" name="TextBox 6">
          <a:extLst>
            <a:ext uri="{FF2B5EF4-FFF2-40B4-BE49-F238E27FC236}">
              <a16:creationId xmlns:a16="http://schemas.microsoft.com/office/drawing/2014/main" id="{00000000-0008-0000-0300-000007000000}"/>
            </a:ext>
          </a:extLst>
        </xdr:cNvPr>
        <xdr:cNvSpPr txBox="1"/>
      </xdr:nvSpPr>
      <xdr:spPr>
        <a:xfrm>
          <a:off x="2714625" y="4143375"/>
          <a:ext cx="5648325" cy="11072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First complete</a:t>
          </a:r>
          <a:r>
            <a:rPr lang="en-US" sz="1100" baseline="0"/>
            <a:t> the DC input template  and save the spreadsheet file.</a:t>
          </a:r>
        </a:p>
        <a:p>
          <a:pPr marL="171450" indent="-171450">
            <a:buFont typeface="Arial" panose="020B0604020202020204" pitchFamily="34" charset="0"/>
            <a:buChar char="•"/>
          </a:pPr>
          <a:r>
            <a:rPr lang="en-US" sz="1100" baseline="0"/>
            <a:t>Click on the button below to start generating the reports</a:t>
          </a:r>
        </a:p>
        <a:p>
          <a:pPr marL="171450" indent="-171450">
            <a:buFont typeface="Arial" panose="020B0604020202020204" pitchFamily="34" charset="0"/>
            <a:buChar char="•"/>
          </a:pPr>
          <a:r>
            <a:rPr lang="en-US" sz="1100" baseline="0"/>
            <a:t>First a file selection dialog  is shown. Select the  file  with the completed DC input template</a:t>
          </a:r>
        </a:p>
        <a:p>
          <a:pPr marL="171450" indent="-171450">
            <a:buFont typeface="Arial" panose="020B0604020202020204" pitchFamily="34" charset="0"/>
            <a:buChar char="•"/>
          </a:pPr>
          <a:r>
            <a:rPr lang="en-US" sz="1100" baseline="0"/>
            <a:t>The tool runs the calculations. Progress is  reported in the statusbar below.</a:t>
          </a:r>
        </a:p>
        <a:p>
          <a:pPr marL="171450" indent="-171450">
            <a:buFont typeface="Arial" panose="020B0604020202020204" pitchFamily="34" charset="0"/>
            <a:buChar char="•"/>
          </a:pPr>
          <a:r>
            <a:rPr lang="en-US" sz="1100" baseline="0"/>
            <a:t>Check reports</a:t>
          </a:r>
        </a:p>
        <a:p>
          <a:endParaRPr lang="en-US" sz="1100"/>
        </a:p>
      </xdr:txBody>
    </xdr:sp>
    <xdr:clientData/>
  </xdr:twoCellAnchor>
  <xdr:twoCellAnchor>
    <xdr:from>
      <xdr:col>2</xdr:col>
      <xdr:colOff>428625</xdr:colOff>
      <xdr:row>31</xdr:row>
      <xdr:rowOff>180975</xdr:rowOff>
    </xdr:from>
    <xdr:to>
      <xdr:col>12</xdr:col>
      <xdr:colOff>219075</xdr:colOff>
      <xdr:row>41</xdr:row>
      <xdr:rowOff>19050</xdr:rowOff>
    </xdr:to>
    <xdr:sp macro="" textlink="">
      <xdr:nvSpPr>
        <xdr:cNvPr id="8" name="TextBox 7">
          <a:extLst>
            <a:ext uri="{FF2B5EF4-FFF2-40B4-BE49-F238E27FC236}">
              <a16:creationId xmlns:a16="http://schemas.microsoft.com/office/drawing/2014/main" id="{00000000-0008-0000-0300-000008000000}"/>
            </a:ext>
          </a:extLst>
        </xdr:cNvPr>
        <xdr:cNvSpPr txBox="1"/>
      </xdr:nvSpPr>
      <xdr:spPr>
        <a:xfrm>
          <a:off x="2657475" y="7162800"/>
          <a:ext cx="5743575" cy="1743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i="0">
              <a:solidFill>
                <a:schemeClr val="dk1"/>
              </a:solidFill>
              <a:effectLst/>
              <a:latin typeface="+mn-lt"/>
              <a:ea typeface="+mn-ea"/>
              <a:cs typeface="+mn-cs"/>
            </a:rPr>
            <a:t>Once the run has been performed, the results appear in three separate consecutive sheets, each sheet representing results for a representative member. The sheets are named:</a:t>
          </a:r>
        </a:p>
        <a:p>
          <a:endParaRPr lang="en-GB" sz="1100" i="0">
            <a:solidFill>
              <a:schemeClr val="dk1"/>
            </a:solidFill>
            <a:effectLst/>
            <a:latin typeface="+mn-lt"/>
            <a:ea typeface="+mn-ea"/>
            <a:cs typeface="+mn-cs"/>
          </a:endParaRPr>
        </a:p>
        <a:p>
          <a:r>
            <a:rPr lang="en-GB" sz="1100" i="0">
              <a:solidFill>
                <a:schemeClr val="dk1"/>
              </a:solidFill>
              <a:effectLst/>
              <a:latin typeface="+mn-lt"/>
              <a:ea typeface="+mn-ea"/>
              <a:cs typeface="+mn-cs"/>
            </a:rPr>
            <a:t>- </a:t>
          </a:r>
          <a:r>
            <a:rPr lang="en-GB" sz="1100" i="1">
              <a:solidFill>
                <a:schemeClr val="dk1"/>
              </a:solidFill>
              <a:effectLst/>
              <a:latin typeface="+mn-lt"/>
              <a:ea typeface="+mn-ea"/>
              <a:cs typeface="+mn-cs"/>
            </a:rPr>
            <a:t>7.1</a:t>
          </a:r>
          <a:r>
            <a:rPr lang="en-GB" sz="1100" i="1" baseline="0">
              <a:solidFill>
                <a:schemeClr val="dk1"/>
              </a:solidFill>
              <a:effectLst/>
              <a:latin typeface="+mn-lt"/>
              <a:ea typeface="+mn-ea"/>
              <a:cs typeface="+mn-cs"/>
            </a:rPr>
            <a:t> Report Member 35y YTR</a:t>
          </a:r>
          <a:endParaRPr lang="en-US" sz="1100" i="1"/>
        </a:p>
        <a:p>
          <a:pPr marL="0" marR="0" indent="0" defTabSz="914400" eaLnBrk="1" fontAlgn="auto" latinLnBrk="0" hangingPunct="1">
            <a:lnSpc>
              <a:spcPct val="100000"/>
            </a:lnSpc>
            <a:spcBef>
              <a:spcPts val="0"/>
            </a:spcBef>
            <a:spcAft>
              <a:spcPts val="0"/>
            </a:spcAft>
            <a:buClrTx/>
            <a:buSzTx/>
            <a:buFontTx/>
            <a:buNone/>
            <a:tabLst/>
            <a:defRPr/>
          </a:pPr>
          <a:r>
            <a:rPr lang="en-GB" sz="1100" i="0">
              <a:solidFill>
                <a:schemeClr val="dk1"/>
              </a:solidFill>
              <a:effectLst/>
              <a:latin typeface="+mn-lt"/>
              <a:ea typeface="+mn-ea"/>
              <a:cs typeface="+mn-cs"/>
            </a:rPr>
            <a:t>- </a:t>
          </a:r>
          <a:r>
            <a:rPr lang="en-GB" sz="1100" i="1">
              <a:solidFill>
                <a:schemeClr val="dk1"/>
              </a:solidFill>
              <a:effectLst/>
              <a:latin typeface="+mn-lt"/>
              <a:ea typeface="+mn-ea"/>
              <a:cs typeface="+mn-cs"/>
            </a:rPr>
            <a:t>7.2</a:t>
          </a:r>
          <a:r>
            <a:rPr lang="en-GB" sz="1100" i="1" baseline="0">
              <a:solidFill>
                <a:schemeClr val="dk1"/>
              </a:solidFill>
              <a:effectLst/>
              <a:latin typeface="+mn-lt"/>
              <a:ea typeface="+mn-ea"/>
              <a:cs typeface="+mn-cs"/>
            </a:rPr>
            <a:t> Report Member 20y YTR</a:t>
          </a:r>
          <a:endParaRPr lang="en-US">
            <a:effectLst/>
          </a:endParaRPr>
        </a:p>
        <a:p>
          <a:pPr marL="0" marR="0" indent="0" defTabSz="914400" eaLnBrk="1" fontAlgn="auto" latinLnBrk="0" hangingPunct="1">
            <a:lnSpc>
              <a:spcPct val="100000"/>
            </a:lnSpc>
            <a:spcBef>
              <a:spcPts val="0"/>
            </a:spcBef>
            <a:spcAft>
              <a:spcPts val="0"/>
            </a:spcAft>
            <a:buClrTx/>
            <a:buSzTx/>
            <a:buFontTx/>
            <a:buNone/>
            <a:tabLst/>
            <a:defRPr/>
          </a:pPr>
          <a:r>
            <a:rPr lang="en-GB" sz="1100" i="0">
              <a:solidFill>
                <a:schemeClr val="dk1"/>
              </a:solidFill>
              <a:effectLst/>
              <a:latin typeface="+mn-lt"/>
              <a:ea typeface="+mn-ea"/>
              <a:cs typeface="+mn-cs"/>
            </a:rPr>
            <a:t>- </a:t>
          </a:r>
          <a:r>
            <a:rPr lang="en-GB" sz="1100" i="1">
              <a:solidFill>
                <a:schemeClr val="dk1"/>
              </a:solidFill>
              <a:effectLst/>
              <a:latin typeface="+mn-lt"/>
              <a:ea typeface="+mn-ea"/>
              <a:cs typeface="+mn-cs"/>
            </a:rPr>
            <a:t>7.3</a:t>
          </a:r>
          <a:r>
            <a:rPr lang="en-GB" sz="1100" i="1" baseline="0">
              <a:solidFill>
                <a:schemeClr val="dk1"/>
              </a:solidFill>
              <a:effectLst/>
              <a:latin typeface="+mn-lt"/>
              <a:ea typeface="+mn-ea"/>
              <a:cs typeface="+mn-cs"/>
            </a:rPr>
            <a:t> Report Member 5y YTR</a:t>
          </a:r>
          <a:endParaRPr lang="en-US">
            <a:effectLst/>
          </a:endParaRPr>
        </a:p>
        <a:p>
          <a:endParaRPr lang="en-US" sz="1100"/>
        </a:p>
        <a:p>
          <a:r>
            <a:rPr lang="en-US" sz="1100" baseline="0"/>
            <a:t>Check the reports to see that the simulation process ran </a:t>
          </a:r>
          <a:r>
            <a:rPr lang="en-GB" sz="1100">
              <a:solidFill>
                <a:schemeClr val="dk1"/>
              </a:solidFill>
              <a:effectLst/>
              <a:latin typeface="+mn-lt"/>
              <a:ea typeface="+mn-ea"/>
              <a:cs typeface="+mn-cs"/>
            </a:rPr>
            <a:t>correctly for each representative member and that the results look reasonable</a:t>
          </a:r>
          <a:r>
            <a:rPr lang="en-US" sz="1100" baseline="0"/>
            <a:t>. If not, please go back to check the inputs.</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6</xdr:col>
      <xdr:colOff>361430</xdr:colOff>
      <xdr:row>4</xdr:row>
      <xdr:rowOff>178377</xdr:rowOff>
    </xdr:to>
    <xdr:pic>
      <xdr:nvPicPr>
        <xdr:cNvPr id="3" name="B!">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799705" cy="1226127"/>
        </a:xfrm>
        <a:prstGeom prst="rect">
          <a:avLst/>
        </a:prstGeom>
      </xdr:spPr>
    </xdr:pic>
    <xdr:clientData/>
  </xdr:twoCellAnchor>
  <xdr:twoCellAnchor>
    <xdr:from>
      <xdr:col>3</xdr:col>
      <xdr:colOff>0</xdr:colOff>
      <xdr:row>11</xdr:row>
      <xdr:rowOff>104775</xdr:rowOff>
    </xdr:from>
    <xdr:to>
      <xdr:col>13</xdr:col>
      <xdr:colOff>447676</xdr:colOff>
      <xdr:row>22</xdr:row>
      <xdr:rowOff>0</xdr:rowOff>
    </xdr:to>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2933700" y="2800350"/>
          <a:ext cx="5886451" cy="2076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reporting template is</a:t>
          </a:r>
          <a:r>
            <a:rPr lang="en-US" sz="1100" baseline="0"/>
            <a:t> designed to assist DC IORPS in conducting the DC module of the IORP Stress Test 2019 and is consistent with the specifications in the document  "EIOPA Stress Test 2019 Specifications"</a:t>
          </a:r>
        </a:p>
        <a:p>
          <a:r>
            <a:rPr lang="en-US" sz="1100" baseline="0"/>
            <a:t>This template is part of the spreadsheet tool to conduct the </a:t>
          </a:r>
          <a:r>
            <a:rPr lang="en-US" sz="1100" baseline="0">
              <a:solidFill>
                <a:schemeClr val="dk1"/>
              </a:solidFill>
              <a:effectLst/>
              <a:latin typeface="+mn-lt"/>
              <a:ea typeface="+mn-ea"/>
              <a:cs typeface="+mn-cs"/>
            </a:rPr>
            <a:t>DC module. The IORP is asked to complete the requested information in this template. After completion the template has to be processed by use of the calculation spreadsheet tool that will perform all the calculations required to conduct the stress test. The calculation tool produces  a report template  with the outcome of the exercise.</a:t>
          </a:r>
        </a:p>
        <a:p>
          <a:r>
            <a:rPr lang="en-US" sz="1100" baseline="0">
              <a:solidFill>
                <a:schemeClr val="dk1"/>
              </a:solidFill>
              <a:effectLst/>
              <a:latin typeface="+mn-lt"/>
              <a:ea typeface="+mn-ea"/>
              <a:cs typeface="+mn-cs"/>
            </a:rPr>
            <a:t>As the calculation tool is distributed as part of the stress test package,  IORP are asked to conduct the exercise  using the calculation tool and to judge any results from the generated report template before sending it to  their respective NSA.</a:t>
          </a:r>
          <a:endParaRPr lang="en-US" sz="1100"/>
        </a:p>
      </xdr:txBody>
    </xdr:sp>
    <xdr:clientData/>
  </xdr:twoCellAnchor>
  <xdr:twoCellAnchor>
    <xdr:from>
      <xdr:col>3</xdr:col>
      <xdr:colOff>9525</xdr:colOff>
      <xdr:row>113</xdr:row>
      <xdr:rowOff>38100</xdr:rowOff>
    </xdr:from>
    <xdr:to>
      <xdr:col>12</xdr:col>
      <xdr:colOff>523875</xdr:colOff>
      <xdr:row>116</xdr:row>
      <xdr:rowOff>123825</xdr:rowOff>
    </xdr:to>
    <xdr:sp macro="" textlink="">
      <xdr:nvSpPr>
        <xdr:cNvPr id="5" name="TextBox 4">
          <a:extLst>
            <a:ext uri="{FF2B5EF4-FFF2-40B4-BE49-F238E27FC236}">
              <a16:creationId xmlns:a16="http://schemas.microsoft.com/office/drawing/2014/main" id="{00000000-0008-0000-0400-000005000000}"/>
            </a:ext>
          </a:extLst>
        </xdr:cNvPr>
        <xdr:cNvSpPr txBox="1"/>
      </xdr:nvSpPr>
      <xdr:spPr>
        <a:xfrm>
          <a:off x="2943225" y="24069675"/>
          <a:ext cx="5295900" cy="657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Simulations</a:t>
          </a:r>
          <a:r>
            <a:rPr lang="en-US" sz="1100" baseline="0"/>
            <a:t> of the DC scheme are based on yearly time-steps. The convention is that values per year represent the  end-of-year values and that returns represent the return realized over that year.</a:t>
          </a:r>
          <a:endParaRPr lang="en-US" sz="1100"/>
        </a:p>
      </xdr:txBody>
    </xdr:sp>
    <xdr:clientData/>
  </xdr:twoCellAnchor>
  <xdr:twoCellAnchor>
    <xdr:from>
      <xdr:col>2</xdr:col>
      <xdr:colOff>257175</xdr:colOff>
      <xdr:row>41</xdr:row>
      <xdr:rowOff>1</xdr:rowOff>
    </xdr:from>
    <xdr:to>
      <xdr:col>12</xdr:col>
      <xdr:colOff>457200</xdr:colOff>
      <xdr:row>43</xdr:row>
      <xdr:rowOff>142875</xdr:rowOff>
    </xdr:to>
    <xdr:sp macro="" textlink="">
      <xdr:nvSpPr>
        <xdr:cNvPr id="6" name="TextBox 5">
          <a:extLst>
            <a:ext uri="{FF2B5EF4-FFF2-40B4-BE49-F238E27FC236}">
              <a16:creationId xmlns:a16="http://schemas.microsoft.com/office/drawing/2014/main" id="{00000000-0008-0000-0400-000006000000}"/>
            </a:ext>
          </a:extLst>
        </xdr:cNvPr>
        <xdr:cNvSpPr txBox="1"/>
      </xdr:nvSpPr>
      <xdr:spPr>
        <a:xfrm>
          <a:off x="257175" y="5010151"/>
          <a:ext cx="5295900" cy="5238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To succesfully complete</a:t>
          </a:r>
          <a:r>
            <a:rPr lang="en-US" sz="1100" baseline="0"/>
            <a:t> the stress test, it is important that the IORP completes all the steps in providing input data.</a:t>
          </a:r>
          <a:endParaRPr lang="en-US" sz="1100"/>
        </a:p>
      </xdr:txBody>
    </xdr:sp>
    <xdr:clientData/>
  </xdr:twoCellAnchor>
  <xdr:twoCellAnchor>
    <xdr:from>
      <xdr:col>3</xdr:col>
      <xdr:colOff>361950</xdr:colOff>
      <xdr:row>53</xdr:row>
      <xdr:rowOff>19051</xdr:rowOff>
    </xdr:from>
    <xdr:to>
      <xdr:col>13</xdr:col>
      <xdr:colOff>266700</xdr:colOff>
      <xdr:row>56</xdr:row>
      <xdr:rowOff>142875</xdr:rowOff>
    </xdr:to>
    <xdr:sp macro="" textlink="">
      <xdr:nvSpPr>
        <xdr:cNvPr id="7" name="TextBox 6">
          <a:extLst>
            <a:ext uri="{FF2B5EF4-FFF2-40B4-BE49-F238E27FC236}">
              <a16:creationId xmlns:a16="http://schemas.microsoft.com/office/drawing/2014/main" id="{00000000-0008-0000-0400-000007000000}"/>
            </a:ext>
          </a:extLst>
        </xdr:cNvPr>
        <xdr:cNvSpPr txBox="1"/>
      </xdr:nvSpPr>
      <xdr:spPr>
        <a:xfrm>
          <a:off x="2040731" y="7674770"/>
          <a:ext cx="5274469" cy="6596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 this part, input data on the characteristics of the overall DC plan must be provided. These characteristics apply to all representative members. These need to be completed in the following two input forms.</a:t>
          </a:r>
        </a:p>
      </xdr:txBody>
    </xdr:sp>
    <xdr:clientData/>
  </xdr:twoCellAnchor>
  <xdr:twoCellAnchor>
    <xdr:from>
      <xdr:col>4</xdr:col>
      <xdr:colOff>342900</xdr:colOff>
      <xdr:row>61</xdr:row>
      <xdr:rowOff>66676</xdr:rowOff>
    </xdr:from>
    <xdr:to>
      <xdr:col>14</xdr:col>
      <xdr:colOff>47625</xdr:colOff>
      <xdr:row>67</xdr:row>
      <xdr:rowOff>76201</xdr:rowOff>
    </xdr:to>
    <xdr:sp macro="" textlink="">
      <xdr:nvSpPr>
        <xdr:cNvPr id="8" name="TextBox 7">
          <a:extLst>
            <a:ext uri="{FF2B5EF4-FFF2-40B4-BE49-F238E27FC236}">
              <a16:creationId xmlns:a16="http://schemas.microsoft.com/office/drawing/2014/main" id="{00000000-0008-0000-0400-000008000000}"/>
            </a:ext>
          </a:extLst>
        </xdr:cNvPr>
        <xdr:cNvSpPr txBox="1"/>
      </xdr:nvSpPr>
      <xdr:spPr>
        <a:xfrm>
          <a:off x="2438400" y="10086976"/>
          <a:ext cx="5295900" cy="1143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Here the IORP</a:t>
          </a:r>
          <a:r>
            <a:rPr lang="en-US" sz="1100" baseline="0"/>
            <a:t> must provide characteristics of the assets and investment funds that are used by the DC fund. Note that the change in asset mix over time for each representative member can be specified on sheets  4.1 - 4.3.  The modelling of assets is simplified - using asset classes such as 'Equities' instead of characterisitics of each individual asset, and therefore the IORP has to provide characteristics that best represent the main economic features of the assets. The IORP can specify at most 20 assets.</a:t>
          </a:r>
          <a:endParaRPr lang="en-US" sz="1100"/>
        </a:p>
      </xdr:txBody>
    </xdr:sp>
    <xdr:clientData/>
  </xdr:twoCellAnchor>
  <xdr:twoCellAnchor>
    <xdr:from>
      <xdr:col>4</xdr:col>
      <xdr:colOff>0</xdr:colOff>
      <xdr:row>69</xdr:row>
      <xdr:rowOff>2</xdr:rowOff>
    </xdr:from>
    <xdr:to>
      <xdr:col>14</xdr:col>
      <xdr:colOff>238125</xdr:colOff>
      <xdr:row>80</xdr:row>
      <xdr:rowOff>47625</xdr:rowOff>
    </xdr:to>
    <xdr:sp macro="" textlink="">
      <xdr:nvSpPr>
        <xdr:cNvPr id="9" name="TextBox 8">
          <a:extLst>
            <a:ext uri="{FF2B5EF4-FFF2-40B4-BE49-F238E27FC236}">
              <a16:creationId xmlns:a16="http://schemas.microsoft.com/office/drawing/2014/main" id="{00000000-0008-0000-0400-000009000000}"/>
            </a:ext>
          </a:extLst>
        </xdr:cNvPr>
        <xdr:cNvSpPr txBox="1"/>
      </xdr:nvSpPr>
      <xdr:spPr>
        <a:xfrm>
          <a:off x="3343275" y="14525627"/>
          <a:ext cx="5829300" cy="21431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In this part, IORPs have to provide data for three representative plan members  in the</a:t>
          </a:r>
          <a:r>
            <a:rPr lang="en-GB" sz="1100" baseline="0">
              <a:solidFill>
                <a:schemeClr val="dk1"/>
              </a:solidFill>
              <a:effectLst/>
              <a:latin typeface="+mn-lt"/>
              <a:ea typeface="+mn-ea"/>
              <a:cs typeface="+mn-cs"/>
            </a:rPr>
            <a:t> following three sheets:</a:t>
          </a:r>
        </a:p>
        <a:p>
          <a:endParaRPr lang="en-GB" sz="1100" baseline="0">
            <a:solidFill>
              <a:schemeClr val="dk1"/>
            </a:solidFill>
            <a:effectLst/>
            <a:latin typeface="+mn-lt"/>
            <a:ea typeface="+mn-ea"/>
            <a:cs typeface="+mn-cs"/>
          </a:endParaRPr>
        </a:p>
        <a:p>
          <a:r>
            <a:rPr lang="en-GB" sz="1100" baseline="0">
              <a:solidFill>
                <a:schemeClr val="dk1"/>
              </a:solidFill>
              <a:effectLst/>
              <a:latin typeface="+mn-lt"/>
              <a:ea typeface="+mn-ea"/>
              <a:cs typeface="+mn-cs"/>
            </a:rPr>
            <a:t>- </a:t>
          </a:r>
          <a:r>
            <a:rPr lang="en-GB" sz="1100" b="1" baseline="0">
              <a:solidFill>
                <a:schemeClr val="dk1"/>
              </a:solidFill>
              <a:effectLst/>
              <a:latin typeface="+mn-lt"/>
              <a:ea typeface="+mn-ea"/>
              <a:cs typeface="+mn-cs"/>
            </a:rPr>
            <a:t>4.1. Member 35y YTR  - </a:t>
          </a:r>
          <a:r>
            <a:rPr lang="en-GB" sz="1100" b="0" baseline="0">
              <a:solidFill>
                <a:schemeClr val="dk1"/>
              </a:solidFill>
              <a:effectLst/>
              <a:latin typeface="+mn-lt"/>
              <a:ea typeface="+mn-ea"/>
              <a:cs typeface="+mn-cs"/>
            </a:rPr>
            <a:t>a representative member </a:t>
          </a:r>
          <a:r>
            <a:rPr lang="en-GB" sz="1100">
              <a:solidFill>
                <a:schemeClr val="dk1"/>
              </a:solidFill>
              <a:effectLst/>
              <a:latin typeface="+mn-lt"/>
              <a:ea typeface="+mn-ea"/>
              <a:cs typeface="+mn-cs"/>
            </a:rPr>
            <a:t>35 years before the expected retirement date</a:t>
          </a: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dk1"/>
              </a:solidFill>
              <a:effectLst/>
              <a:latin typeface="+mn-lt"/>
              <a:ea typeface="+mn-ea"/>
              <a:cs typeface="+mn-cs"/>
            </a:rPr>
            <a:t>- </a:t>
          </a:r>
          <a:r>
            <a:rPr lang="en-GB" sz="1100" b="1" baseline="0">
              <a:solidFill>
                <a:schemeClr val="dk1"/>
              </a:solidFill>
              <a:effectLst/>
              <a:latin typeface="+mn-lt"/>
              <a:ea typeface="+mn-ea"/>
              <a:cs typeface="+mn-cs"/>
            </a:rPr>
            <a:t>4.2. Member 20y YTR  - </a:t>
          </a:r>
          <a:r>
            <a:rPr lang="en-GB" sz="1100" b="0" baseline="0">
              <a:solidFill>
                <a:schemeClr val="dk1"/>
              </a:solidFill>
              <a:effectLst/>
              <a:latin typeface="+mn-lt"/>
              <a:ea typeface="+mn-ea"/>
              <a:cs typeface="+mn-cs"/>
            </a:rPr>
            <a:t>a representative member 20</a:t>
          </a:r>
          <a:r>
            <a:rPr lang="en-GB" sz="1100">
              <a:solidFill>
                <a:schemeClr val="dk1"/>
              </a:solidFill>
              <a:effectLst/>
              <a:latin typeface="+mn-lt"/>
              <a:ea typeface="+mn-ea"/>
              <a:cs typeface="+mn-cs"/>
            </a:rPr>
            <a:t> years before the expected retirement date</a:t>
          </a:r>
          <a:endParaRPr lang="en-US">
            <a:effectLst/>
          </a:endParaRP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dk1"/>
              </a:solidFill>
              <a:effectLst/>
              <a:latin typeface="+mn-lt"/>
              <a:ea typeface="+mn-ea"/>
              <a:cs typeface="+mn-cs"/>
            </a:rPr>
            <a:t>- </a:t>
          </a:r>
          <a:r>
            <a:rPr lang="en-GB" sz="1100" b="1" baseline="0">
              <a:solidFill>
                <a:schemeClr val="dk1"/>
              </a:solidFill>
              <a:effectLst/>
              <a:latin typeface="+mn-lt"/>
              <a:ea typeface="+mn-ea"/>
              <a:cs typeface="+mn-cs"/>
            </a:rPr>
            <a:t>4.3. Member  5y YTR  - </a:t>
          </a:r>
          <a:r>
            <a:rPr lang="en-GB" sz="1100" b="0" baseline="0">
              <a:solidFill>
                <a:schemeClr val="dk1"/>
              </a:solidFill>
              <a:effectLst/>
              <a:latin typeface="+mn-lt"/>
              <a:ea typeface="+mn-ea"/>
              <a:cs typeface="+mn-cs"/>
            </a:rPr>
            <a:t>a representative member 5</a:t>
          </a:r>
          <a:r>
            <a:rPr lang="en-GB" sz="1100">
              <a:solidFill>
                <a:schemeClr val="dk1"/>
              </a:solidFill>
              <a:effectLst/>
              <a:latin typeface="+mn-lt"/>
              <a:ea typeface="+mn-ea"/>
              <a:cs typeface="+mn-cs"/>
            </a:rPr>
            <a:t> years before the expected retirement date</a:t>
          </a:r>
          <a:endParaRPr lang="en-US">
            <a:effectLst/>
          </a:endParaRPr>
        </a:p>
        <a:p>
          <a:endParaRPr lang="en-GB" sz="1100" b="1" baseline="0">
            <a:solidFill>
              <a:schemeClr val="dk1"/>
            </a:solidFill>
            <a:effectLst/>
            <a:latin typeface="+mn-lt"/>
            <a:ea typeface="+mn-ea"/>
            <a:cs typeface="+mn-cs"/>
          </a:endParaRPr>
        </a:p>
        <a:p>
          <a:r>
            <a:rPr lang="en-GB" sz="1100">
              <a:solidFill>
                <a:schemeClr val="dk1"/>
              </a:solidFill>
              <a:effectLst/>
              <a:latin typeface="+mn-lt"/>
              <a:ea typeface="+mn-ea"/>
              <a:cs typeface="+mn-cs"/>
            </a:rPr>
            <a:t>Characteristics of the plan members are either prescribed by the stress test exercise or provided by the IORP to best represent the characteristics of its member population.  The sheet allows to specify life-cycle behavior by specifying contribtion rates and asset weights over all future years to expected retirement</a:t>
          </a:r>
          <a:r>
            <a:rPr lang="en-GB" sz="1100" baseline="0">
              <a:solidFill>
                <a:schemeClr val="dk1"/>
              </a:solidFill>
              <a:effectLst/>
              <a:latin typeface="+mn-lt"/>
              <a:ea typeface="+mn-ea"/>
              <a:cs typeface="+mn-cs"/>
            </a:rPr>
            <a:t>. Future asset weights  can be provided for the baseline market scenario as well as the ESRB adverse market scenario.</a:t>
          </a:r>
          <a:endParaRPr lang="en-US" sz="1100"/>
        </a:p>
      </xdr:txBody>
    </xdr:sp>
    <xdr:clientData/>
  </xdr:twoCellAnchor>
  <xdr:twoCellAnchor>
    <xdr:from>
      <xdr:col>3</xdr:col>
      <xdr:colOff>409574</xdr:colOff>
      <xdr:row>92</xdr:row>
      <xdr:rowOff>238122</xdr:rowOff>
    </xdr:from>
    <xdr:to>
      <xdr:col>14</xdr:col>
      <xdr:colOff>238125</xdr:colOff>
      <xdr:row>111</xdr:row>
      <xdr:rowOff>47625</xdr:rowOff>
    </xdr:to>
    <xdr:sp macro="" textlink="">
      <xdr:nvSpPr>
        <xdr:cNvPr id="10" name="TextBox 9">
          <a:extLst>
            <a:ext uri="{FF2B5EF4-FFF2-40B4-BE49-F238E27FC236}">
              <a16:creationId xmlns:a16="http://schemas.microsoft.com/office/drawing/2014/main" id="{00000000-0008-0000-0400-00000A000000}"/>
            </a:ext>
          </a:extLst>
        </xdr:cNvPr>
        <xdr:cNvSpPr txBox="1"/>
      </xdr:nvSpPr>
      <xdr:spPr>
        <a:xfrm>
          <a:off x="3343274" y="19935822"/>
          <a:ext cx="5876926" cy="442912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When all user</a:t>
          </a:r>
          <a:r>
            <a:rPr lang="en-US" sz="1100" baseline="0"/>
            <a:t> data has been completed, it is time to run the exercise. This is done on sheet </a:t>
          </a:r>
          <a:br>
            <a:rPr lang="en-US" sz="1100" baseline="0"/>
          </a:br>
          <a:r>
            <a:rPr lang="en-US" sz="1100" baseline="0"/>
            <a:t>"</a:t>
          </a:r>
          <a:r>
            <a:rPr lang="en-US" sz="1100" i="0" baseline="0"/>
            <a:t>6. Complete exercise" and consists of the following steps:</a:t>
          </a:r>
        </a:p>
        <a:p>
          <a:endParaRPr lang="en-US" sz="1100" i="0" baseline="0"/>
        </a:p>
        <a:p>
          <a:r>
            <a:rPr lang="en-US" sz="1100" b="1" i="0" baseline="0"/>
            <a:t>1. Validate input</a:t>
          </a:r>
        </a:p>
        <a:p>
          <a:r>
            <a:rPr lang="en-US" sz="1100" i="0" baseline="0"/>
            <a:t>First make sure all input data is complete and correct. The sheet performs some basic validation checks and singals problems with incorrect user data. Correct all user input to make sure all user data is valid.</a:t>
          </a:r>
        </a:p>
        <a:p>
          <a:endParaRPr lang="en-US" sz="1100" i="0" baseline="0"/>
        </a:p>
        <a:p>
          <a:r>
            <a:rPr lang="en-US" sz="1100" b="1" i="0" baseline="0"/>
            <a:t>2. Save this template</a:t>
          </a:r>
        </a:p>
        <a:p>
          <a:r>
            <a:rPr lang="en-US" sz="1100">
              <a:solidFill>
                <a:schemeClr val="dk1"/>
              </a:solidFill>
              <a:effectLst/>
              <a:latin typeface="+mn-lt"/>
              <a:ea typeface="+mn-ea"/>
              <a:cs typeface="+mn-cs"/>
            </a:rPr>
            <a:t>If all input forms are properly filled out, then make</a:t>
          </a:r>
          <a:r>
            <a:rPr lang="en-US" sz="1100" baseline="0">
              <a:solidFill>
                <a:schemeClr val="dk1"/>
              </a:solidFill>
              <a:effectLst/>
              <a:latin typeface="+mn-lt"/>
              <a:ea typeface="+mn-ea"/>
              <a:cs typeface="+mn-cs"/>
            </a:rPr>
            <a:t> sure you save this input template  file  by use of the save-button on worksheet "6. Complete exercise".</a:t>
          </a:r>
        </a:p>
        <a:p>
          <a:r>
            <a:rPr lang="en-US">
              <a:effectLst/>
            </a:rPr>
            <a:t>The default file name is equal to "EIOPA</a:t>
          </a:r>
          <a:r>
            <a:rPr lang="en-US" baseline="0">
              <a:effectLst/>
            </a:rPr>
            <a:t> </a:t>
          </a:r>
          <a:r>
            <a:rPr lang="en-US">
              <a:effectLst/>
            </a:rPr>
            <a:t>DC ST2019 Input Template  (&lt;</a:t>
          </a:r>
          <a:r>
            <a:rPr lang="en-US" i="1">
              <a:effectLst/>
            </a:rPr>
            <a:t>version</a:t>
          </a:r>
          <a:r>
            <a:rPr lang="en-US" i="1" baseline="0">
              <a:effectLst/>
            </a:rPr>
            <a:t> date</a:t>
          </a:r>
          <a:r>
            <a:rPr lang="en-US" baseline="0">
              <a:effectLst/>
            </a:rPr>
            <a:t>&gt;)</a:t>
          </a:r>
          <a:r>
            <a:rPr lang="en-US">
              <a:effectLst/>
            </a:rPr>
            <a:t> &lt;</a:t>
          </a:r>
          <a:r>
            <a:rPr lang="en-US" i="1">
              <a:effectLst/>
            </a:rPr>
            <a:t>filename ID&gt;</a:t>
          </a:r>
          <a:r>
            <a:rPr lang="en-US" i="0">
              <a:effectLst/>
            </a:rPr>
            <a:t>.xlsb",</a:t>
          </a:r>
          <a:r>
            <a:rPr lang="en-US" i="0" baseline="0">
              <a:effectLst/>
            </a:rPr>
            <a:t> where the &lt;</a:t>
          </a:r>
          <a:r>
            <a:rPr lang="en-US" i="1" baseline="0">
              <a:effectLst/>
            </a:rPr>
            <a:t>version date</a:t>
          </a:r>
          <a:r>
            <a:rPr lang="en-US" i="0" baseline="0">
              <a:effectLst/>
            </a:rPr>
            <a:t>&gt; is taken from this worksheet  (see above) and &lt;</a:t>
          </a:r>
          <a:r>
            <a:rPr lang="en-US" i="1" baseline="0">
              <a:effectLst/>
            </a:rPr>
            <a:t>filename ID&gt; </a:t>
          </a:r>
          <a:r>
            <a:rPr lang="en-US" i="0" baseline="0">
              <a:effectLst/>
            </a:rPr>
            <a:t> is taken from the worksheet "2. Participating IORP" and based on the country code and unique 6-digit participant ID code as provided by the respective NSA.</a:t>
          </a:r>
          <a:endParaRPr lang="en-US">
            <a:effectLst/>
          </a:endParaRPr>
        </a:p>
        <a:p>
          <a:endParaRPr lang="en-US" sz="1100"/>
        </a:p>
        <a:p>
          <a:r>
            <a:rPr lang="en-US" sz="1100" b="1"/>
            <a:t>3</a:t>
          </a:r>
          <a:r>
            <a:rPr lang="en-US" sz="1100" b="1" i="1"/>
            <a:t>.</a:t>
          </a:r>
          <a:r>
            <a:rPr lang="en-US" sz="1100" b="1"/>
            <a:t> Run the exercise</a:t>
          </a:r>
        </a:p>
        <a:p>
          <a:pPr marL="0" marR="0" indent="0" defTabSz="914400" eaLnBrk="1" fontAlgn="auto" latinLnBrk="0" hangingPunct="1">
            <a:lnSpc>
              <a:spcPct val="100000"/>
            </a:lnSpc>
            <a:spcBef>
              <a:spcPts val="0"/>
            </a:spcBef>
            <a:spcAft>
              <a:spcPts val="0"/>
            </a:spcAft>
            <a:buClrTx/>
            <a:buSzTx/>
            <a:buFontTx/>
            <a:buNone/>
            <a:tabLst/>
            <a:defRPr/>
          </a:pPr>
          <a:r>
            <a:rPr lang="en-US" sz="1100" b="0"/>
            <a:t>A </a:t>
          </a:r>
          <a:r>
            <a:rPr lang="en-US" sz="1100" baseline="0">
              <a:solidFill>
                <a:schemeClr val="dk1"/>
              </a:solidFill>
              <a:effectLst/>
              <a:latin typeface="+mn-lt"/>
              <a:ea typeface="+mn-ea"/>
              <a:cs typeface="+mn-cs"/>
            </a:rPr>
            <a:t>calculation tool is distributed as part of the stress test package (filename: "EIOPA DC ST2019 Calculation Tool (&lt;</a:t>
          </a:r>
          <a:r>
            <a:rPr lang="en-US" sz="1100" i="1" baseline="0">
              <a:solidFill>
                <a:schemeClr val="dk1"/>
              </a:solidFill>
              <a:effectLst/>
              <a:latin typeface="+mn-lt"/>
              <a:ea typeface="+mn-ea"/>
              <a:cs typeface="+mn-cs"/>
            </a:rPr>
            <a:t>version date</a:t>
          </a:r>
          <a:r>
            <a:rPr lang="en-US" sz="1100" baseline="0">
              <a:solidFill>
                <a:schemeClr val="dk1"/>
              </a:solidFill>
              <a:effectLst/>
              <a:latin typeface="+mn-lt"/>
              <a:ea typeface="+mn-ea"/>
              <a:cs typeface="+mn-cs"/>
            </a:rPr>
            <a:t>&gt;).xlsb"). IORPS have to load their completed template  (as saved under point 2 above)  into the calculation tool to get the results from the exercise. A report file will be generated  automatically and saved under the file name </a:t>
          </a:r>
          <a:r>
            <a:rPr lang="en-US" sz="1100">
              <a:solidFill>
                <a:schemeClr val="dk1"/>
              </a:solidFill>
              <a:effectLst/>
              <a:latin typeface="+mn-lt"/>
              <a:ea typeface="+mn-ea"/>
              <a:cs typeface="+mn-cs"/>
            </a:rPr>
            <a:t>"EIOPA</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DC ST2019 Report Template (&lt;</a:t>
          </a:r>
          <a:r>
            <a:rPr lang="en-US" sz="1100" i="1">
              <a:solidFill>
                <a:schemeClr val="dk1"/>
              </a:solidFill>
              <a:effectLst/>
              <a:latin typeface="+mn-lt"/>
              <a:ea typeface="+mn-ea"/>
              <a:cs typeface="+mn-cs"/>
            </a:rPr>
            <a:t>version</a:t>
          </a:r>
          <a:r>
            <a:rPr lang="en-US" sz="1100" i="1" baseline="0">
              <a:solidFill>
                <a:schemeClr val="dk1"/>
              </a:solidFill>
              <a:effectLst/>
              <a:latin typeface="+mn-lt"/>
              <a:ea typeface="+mn-ea"/>
              <a:cs typeface="+mn-cs"/>
            </a:rPr>
            <a:t> date</a:t>
          </a:r>
          <a:r>
            <a:rPr lang="en-US" sz="1100">
              <a:solidFill>
                <a:schemeClr val="dk1"/>
              </a:solidFill>
              <a:effectLst/>
              <a:latin typeface="+mn-lt"/>
              <a:ea typeface="+mn-ea"/>
              <a:cs typeface="+mn-cs"/>
            </a:rPr>
            <a:t>) &lt;</a:t>
          </a:r>
          <a:r>
            <a:rPr lang="en-US" sz="1100" i="1">
              <a:solidFill>
                <a:schemeClr val="dk1"/>
              </a:solidFill>
              <a:effectLst/>
              <a:latin typeface="+mn-lt"/>
              <a:ea typeface="+mn-ea"/>
              <a:cs typeface="+mn-cs"/>
            </a:rPr>
            <a:t>filename ID&gt;</a:t>
          </a:r>
          <a:r>
            <a:rPr lang="en-US" sz="1100" i="0">
              <a:solidFill>
                <a:schemeClr val="dk1"/>
              </a:solidFill>
              <a:effectLst/>
              <a:latin typeface="+mn-lt"/>
              <a:ea typeface="+mn-ea"/>
              <a:cs typeface="+mn-cs"/>
            </a:rPr>
            <a:t>.xlsb".</a:t>
          </a:r>
          <a:endParaRPr lang="en-US" sz="11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b="1">
              <a:effectLst/>
            </a:rPr>
            <a:t>4. Submit</a:t>
          </a:r>
        </a:p>
        <a:p>
          <a:pPr marL="0" marR="0" indent="0" defTabSz="914400" eaLnBrk="1" fontAlgn="auto" latinLnBrk="0" hangingPunct="1">
            <a:lnSpc>
              <a:spcPct val="100000"/>
            </a:lnSpc>
            <a:spcBef>
              <a:spcPts val="0"/>
            </a:spcBef>
            <a:spcAft>
              <a:spcPts val="0"/>
            </a:spcAft>
            <a:buClrTx/>
            <a:buSzTx/>
            <a:buFontTx/>
            <a:buNone/>
            <a:tabLst/>
            <a:defRPr/>
          </a:pPr>
          <a:r>
            <a:rPr lang="en-US" b="0">
              <a:effectLst/>
            </a:rPr>
            <a:t>The</a:t>
          </a:r>
          <a:r>
            <a:rPr lang="en-US" b="0" baseline="0">
              <a:effectLst/>
            </a:rPr>
            <a:t> exercise is completed and the report  template file ready for submission.</a:t>
          </a:r>
          <a:endParaRPr lang="en-US" b="0">
            <a:effectLst/>
          </a:endParaRPr>
        </a:p>
      </xdr:txBody>
    </xdr:sp>
    <xdr:clientData/>
  </xdr:twoCellAnchor>
  <xdr:twoCellAnchor>
    <xdr:from>
      <xdr:col>4</xdr:col>
      <xdr:colOff>19050</xdr:colOff>
      <xdr:row>82</xdr:row>
      <xdr:rowOff>47626</xdr:rowOff>
    </xdr:from>
    <xdr:to>
      <xdr:col>13</xdr:col>
      <xdr:colOff>333375</xdr:colOff>
      <xdr:row>91</xdr:row>
      <xdr:rowOff>19051</xdr:rowOff>
    </xdr:to>
    <xdr:sp macro="" textlink="">
      <xdr:nvSpPr>
        <xdr:cNvPr id="12" name="TextBox 11">
          <a:extLst>
            <a:ext uri="{FF2B5EF4-FFF2-40B4-BE49-F238E27FC236}">
              <a16:creationId xmlns:a16="http://schemas.microsoft.com/office/drawing/2014/main" id="{00000000-0008-0000-0400-00000C000000}"/>
            </a:ext>
          </a:extLst>
        </xdr:cNvPr>
        <xdr:cNvSpPr txBox="1"/>
      </xdr:nvSpPr>
      <xdr:spPr>
        <a:xfrm>
          <a:off x="2114550" y="13963651"/>
          <a:ext cx="5295900" cy="2114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DC module included a</a:t>
          </a:r>
          <a:r>
            <a:rPr lang="en-US" sz="1100" baseline="0"/>
            <a:t> qualitative questionnaire  that is included in this reporting template on the sheet </a:t>
          </a:r>
          <a:r>
            <a:rPr lang="en-US" sz="1100" i="1" baseline="0"/>
            <a:t> "</a:t>
          </a:r>
          <a:r>
            <a:rPr lang="en-US" sz="1100" i="0" baseline="0"/>
            <a:t>5. Questionnaire"</a:t>
          </a:r>
          <a:r>
            <a:rPr lang="en-US" sz="1100" i="1" baseline="0"/>
            <a:t>.</a:t>
          </a:r>
          <a:r>
            <a:rPr lang="en-US" sz="1100" i="0" baseline="0"/>
            <a:t> Please complete this questionnaire as much as possible.</a:t>
          </a:r>
        </a:p>
        <a:p>
          <a:endParaRPr lang="en-US" sz="1100" i="0" baseline="0"/>
        </a:p>
        <a:p>
          <a:r>
            <a:rPr lang="en-US" sz="1100" i="0" baseline="0"/>
            <a:t>Please complete the questionnaire from top to bottom. Answers to questions can determine whether follow-up questions are presented.</a:t>
          </a:r>
        </a:p>
        <a:p>
          <a:endParaRPr lang="en-US" sz="1100" i="0" baseline="0"/>
        </a:p>
        <a:p>
          <a:r>
            <a:rPr lang="en-US" sz="1100"/>
            <a:t>Answers</a:t>
          </a:r>
          <a:r>
            <a:rPr lang="en-US" sz="1100" baseline="0"/>
            <a:t> to questions can be entered directly in the corresponding user input fields. Some fields allow for more elaborate text input. In that case multiple lines of text can be entered by ending a line with the ALT + Enter key.</a:t>
          </a:r>
        </a:p>
        <a:p>
          <a:endParaRPr lang="en-US" sz="1100" baseline="0"/>
        </a:p>
        <a:p>
          <a:r>
            <a:rPr lang="en-US" sz="1100"/>
            <a:t>The</a:t>
          </a:r>
          <a:r>
            <a:rPr lang="en-US" sz="1100" baseline="0"/>
            <a:t> right margin provides input fields to enter comments if necessary.</a:t>
          </a:r>
          <a:endParaRPr lang="en-US" sz="1100"/>
        </a:p>
      </xdr:txBody>
    </xdr:sp>
    <xdr:clientData/>
  </xdr:twoCellAnchor>
  <xdr:twoCellAnchor>
    <xdr:from>
      <xdr:col>2</xdr:col>
      <xdr:colOff>314324</xdr:colOff>
      <xdr:row>22</xdr:row>
      <xdr:rowOff>266699</xdr:rowOff>
    </xdr:from>
    <xdr:to>
      <xdr:col>13</xdr:col>
      <xdr:colOff>561974</xdr:colOff>
      <xdr:row>32</xdr:row>
      <xdr:rowOff>114300</xdr:rowOff>
    </xdr:to>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1685924" y="4772024"/>
          <a:ext cx="5953125" cy="25146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template is designed to facilitate the IORP in conduction the exercise. It is therefore crucial the input data is properly entered</a:t>
          </a:r>
          <a:r>
            <a:rPr lang="en-US" sz="1100" baseline="0"/>
            <a:t> in the apropriate input cells. The template is therefore locked to allow user entry  only in the designated input fields.</a:t>
          </a:r>
          <a:r>
            <a:rPr lang="en-US" sz="1100"/>
            <a:t> </a:t>
          </a:r>
        </a:p>
        <a:p>
          <a:endParaRPr lang="en-US" sz="1100"/>
        </a:p>
        <a:p>
          <a:r>
            <a:rPr lang="en-US" sz="1100"/>
            <a:t>Furthermore, basic</a:t>
          </a:r>
          <a:r>
            <a:rPr lang="en-US" sz="1100" baseline="0"/>
            <a:t> data validation rules are implemented to ensure entry of proper values. For example, asset weights should be between 0% and 100%. Entry of values that fail this data validation will yield an error message, asking to correct the input.</a:t>
          </a:r>
        </a:p>
        <a:p>
          <a:endParaRPr lang="en-US" sz="1100" baseline="0"/>
        </a:p>
        <a:p>
          <a:r>
            <a:rPr lang="en-US" sz="1100" baseline="0"/>
            <a:t>Finally, some basic logical validation checks are implemented that will warn the user for incorrect user input. For example asset weights are checked to add up to 100%.</a:t>
          </a:r>
        </a:p>
        <a:p>
          <a:endParaRPr lang="en-US" sz="1100"/>
        </a:p>
        <a:p>
          <a:r>
            <a:rPr lang="en-US" sz="1100"/>
            <a:t>It is important to adhere to the conventions</a:t>
          </a:r>
          <a:r>
            <a:rPr lang="en-US" sz="1100" baseline="0"/>
            <a:t> and provide appropriate user entry to ensure a proper execution of the exercise. Therefore do not unlock or try to alter the design of the template or the calculation tool.</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19050</xdr:colOff>
      <xdr:row>1</xdr:row>
      <xdr:rowOff>0</xdr:rowOff>
    </xdr:from>
    <xdr:to>
      <xdr:col>3</xdr:col>
      <xdr:colOff>1209155</xdr:colOff>
      <xdr:row>6</xdr:row>
      <xdr:rowOff>130752</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24075" y="0"/>
          <a:ext cx="1799705" cy="12261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5</xdr:col>
      <xdr:colOff>504305</xdr:colOff>
      <xdr:row>6</xdr:row>
      <xdr:rowOff>130752</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81200" y="190500"/>
          <a:ext cx="1799705" cy="1226127"/>
        </a:xfrm>
        <a:prstGeom prst="rect">
          <a:avLst/>
        </a:prstGeom>
      </xdr:spPr>
    </xdr:pic>
    <xdr:clientData/>
  </xdr:twoCellAnchor>
  <xdr:oneCellAnchor>
    <xdr:from>
      <xdr:col>11</xdr:col>
      <xdr:colOff>0</xdr:colOff>
      <xdr:row>8</xdr:row>
      <xdr:rowOff>238124</xdr:rowOff>
    </xdr:from>
    <xdr:ext cx="7572375" cy="7896225"/>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8429625" y="1904999"/>
          <a:ext cx="7572375" cy="789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en-US" sz="1200" b="1" i="1" baseline="0">
              <a:solidFill>
                <a:sysClr val="windowText" lastClr="000000"/>
              </a:solidFill>
            </a:rPr>
            <a:t>Costs</a:t>
          </a:r>
        </a:p>
        <a:p>
          <a:r>
            <a:rPr lang="en-US" sz="1100" b="1" i="1">
              <a:solidFill>
                <a:sysClr val="windowText" lastClr="000000"/>
              </a:solidFill>
            </a:rPr>
            <a:t>Administrative</a:t>
          </a:r>
          <a:r>
            <a:rPr lang="en-US" sz="1100" b="1" i="1" baseline="0">
              <a:solidFill>
                <a:sysClr val="windowText" lastClr="000000"/>
              </a:solidFill>
            </a:rPr>
            <a:t> costs </a:t>
          </a:r>
          <a:r>
            <a:rPr lang="en-US" sz="1100" b="0" i="1" baseline="0">
              <a:solidFill>
                <a:sysClr val="windowText" lastClr="000000"/>
              </a:solidFill>
            </a:rPr>
            <a:t>can be expressed in (a combination of) the following factors</a:t>
          </a:r>
        </a:p>
        <a:p>
          <a:endParaRPr lang="en-US" sz="1100" b="1" i="1" baseline="0">
            <a:solidFill>
              <a:sysClr val="windowText" lastClr="000000"/>
            </a:solidFill>
          </a:endParaRPr>
        </a:p>
        <a:p>
          <a:r>
            <a:rPr lang="en-US" sz="1100" b="1" i="1" baseline="0">
              <a:solidFill>
                <a:sysClr val="windowText" lastClr="000000"/>
              </a:solidFill>
            </a:rPr>
            <a:t>- Fixed annual costs: </a:t>
          </a:r>
          <a:r>
            <a:rPr lang="en-US" sz="1100" b="0" i="1" baseline="0">
              <a:solidFill>
                <a:sysClr val="windowText" lastClr="000000"/>
              </a:solidFill>
            </a:rPr>
            <a:t>This is a fixed yearly ammount that is assumed to grow with price inflation.</a:t>
          </a:r>
        </a:p>
        <a:p>
          <a:r>
            <a:rPr lang="en-US" sz="1100" b="0" i="1" baseline="0">
              <a:solidFill>
                <a:sysClr val="windowText" lastClr="000000"/>
              </a:solidFill>
            </a:rPr>
            <a:t>- </a:t>
          </a:r>
          <a:r>
            <a:rPr lang="en-US" sz="1100" b="1" i="1" baseline="0">
              <a:solidFill>
                <a:sysClr val="windowText" lastClr="000000"/>
              </a:solidFill>
            </a:rPr>
            <a:t>Annual percentage of total asset value: </a:t>
          </a:r>
          <a:r>
            <a:rPr lang="en-US" sz="1100" b="0" i="1" baseline="0">
              <a:solidFill>
                <a:sysClr val="windowText" lastClr="000000"/>
              </a:solidFill>
            </a:rPr>
            <a:t>This is fraction of wealth at the end of every year before other costs have been deducted.</a:t>
          </a:r>
        </a:p>
        <a:p>
          <a:pPr marL="0" marR="0" indent="0" defTabSz="914400" eaLnBrk="1" fontAlgn="auto" latinLnBrk="0" hangingPunct="1">
            <a:lnSpc>
              <a:spcPct val="100000"/>
            </a:lnSpc>
            <a:spcBef>
              <a:spcPts val="0"/>
            </a:spcBef>
            <a:spcAft>
              <a:spcPts val="0"/>
            </a:spcAft>
            <a:buClrTx/>
            <a:buSzTx/>
            <a:buFontTx/>
            <a:buNone/>
            <a:tabLst/>
            <a:defRPr/>
          </a:pPr>
          <a:r>
            <a:rPr lang="en-US" sz="1100" b="0" i="1" baseline="0">
              <a:solidFill>
                <a:schemeClr val="dk1"/>
              </a:solidFill>
              <a:effectLst/>
              <a:latin typeface="+mn-lt"/>
              <a:ea typeface="+mn-ea"/>
              <a:cs typeface="+mn-cs"/>
            </a:rPr>
            <a:t>-</a:t>
          </a:r>
          <a:r>
            <a:rPr lang="en-US" sz="1100" b="1" i="1" baseline="0">
              <a:solidFill>
                <a:schemeClr val="dk1"/>
              </a:solidFill>
              <a:effectLst/>
              <a:latin typeface="+mn-lt"/>
              <a:ea typeface="+mn-ea"/>
              <a:cs typeface="+mn-cs"/>
            </a:rPr>
            <a:t> Percentage of contributions: </a:t>
          </a:r>
          <a:r>
            <a:rPr lang="en-US" sz="1100" b="0" i="1" baseline="0">
              <a:solidFill>
                <a:schemeClr val="dk1"/>
              </a:solidFill>
              <a:effectLst/>
              <a:latin typeface="+mn-lt"/>
              <a:ea typeface="+mn-ea"/>
              <a:cs typeface="+mn-cs"/>
            </a:rPr>
            <a:t> This is the fraction of gross contributions before other costs are deducted.</a:t>
          </a:r>
        </a:p>
        <a:p>
          <a:pPr marL="0" marR="0" indent="0" defTabSz="914400" eaLnBrk="1" fontAlgn="auto" latinLnBrk="0" hangingPunct="1">
            <a:lnSpc>
              <a:spcPct val="100000"/>
            </a:lnSpc>
            <a:spcBef>
              <a:spcPts val="0"/>
            </a:spcBef>
            <a:spcAft>
              <a:spcPts val="0"/>
            </a:spcAft>
            <a:buClrTx/>
            <a:buSzTx/>
            <a:buFontTx/>
            <a:buNone/>
            <a:tabLst/>
            <a:defRPr/>
          </a:pPr>
          <a:r>
            <a:rPr lang="en-US" sz="1100" b="0" i="1" baseline="0">
              <a:solidFill>
                <a:schemeClr val="dk1"/>
              </a:solidFill>
              <a:effectLst/>
              <a:latin typeface="+mn-lt"/>
              <a:ea typeface="+mn-ea"/>
              <a:cs typeface="+mn-cs"/>
            </a:rPr>
            <a:t>-</a:t>
          </a:r>
          <a:r>
            <a:rPr lang="en-US" sz="1100" b="1" i="1" baseline="0">
              <a:solidFill>
                <a:schemeClr val="dk1"/>
              </a:solidFill>
              <a:effectLst/>
              <a:latin typeface="+mn-lt"/>
              <a:ea typeface="+mn-ea"/>
              <a:cs typeface="+mn-cs"/>
            </a:rPr>
            <a:t> Percentage of final pension wealth: </a:t>
          </a:r>
          <a:r>
            <a:rPr lang="en-US" sz="1100" b="0" i="1" baseline="0">
              <a:solidFill>
                <a:schemeClr val="dk1"/>
              </a:solidFill>
              <a:effectLst/>
              <a:latin typeface="+mn-lt"/>
              <a:ea typeface="+mn-ea"/>
              <a:cs typeface="+mn-cs"/>
            </a:rPr>
            <a:t> This is fraction of final wealth at retirement date .</a:t>
          </a:r>
          <a:endParaRPr lang="en-US">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b="0" i="1" baseline="0">
            <a:solidFill>
              <a:sysClr val="windowText" lastClr="00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US" sz="1100" b="1" i="1">
              <a:solidFill>
                <a:schemeClr val="dk1"/>
              </a:solidFill>
              <a:effectLst/>
              <a:latin typeface="+mn-lt"/>
              <a:ea typeface="+mn-ea"/>
              <a:cs typeface="+mn-cs"/>
            </a:rPr>
            <a:t>Investment </a:t>
          </a:r>
          <a:r>
            <a:rPr lang="en-US" sz="1100" b="1" i="1" baseline="0">
              <a:solidFill>
                <a:schemeClr val="dk1"/>
              </a:solidFill>
              <a:effectLst/>
              <a:latin typeface="+mn-lt"/>
              <a:ea typeface="+mn-ea"/>
              <a:cs typeface="+mn-cs"/>
            </a:rPr>
            <a:t>costs </a:t>
          </a:r>
          <a:r>
            <a:rPr lang="en-US" sz="1100" b="0" i="1" baseline="0">
              <a:solidFill>
                <a:schemeClr val="dk1"/>
              </a:solidFill>
              <a:effectLst/>
              <a:latin typeface="+mn-lt"/>
              <a:ea typeface="+mn-ea"/>
              <a:cs typeface="+mn-cs"/>
            </a:rPr>
            <a:t>can be expressed in (a combination of) the following factors</a:t>
          </a:r>
          <a:endParaRPr lang="en-US">
            <a:effectLst/>
          </a:endParaRPr>
        </a:p>
        <a:p>
          <a:r>
            <a:rPr lang="en-US" sz="1100" b="0" i="1" baseline="0">
              <a:solidFill>
                <a:sysClr val="windowText" lastClr="000000"/>
              </a:solidFill>
            </a:rPr>
            <a:t>- </a:t>
          </a:r>
          <a:r>
            <a:rPr lang="en-US" sz="1100" b="1" i="1" baseline="0">
              <a:solidFill>
                <a:sysClr val="windowText" lastClr="000000"/>
              </a:solidFill>
            </a:rPr>
            <a:t>Annual percentage of total asset value: </a:t>
          </a:r>
          <a:r>
            <a:rPr lang="en-US" sz="1100" b="0" i="1" baseline="0">
              <a:solidFill>
                <a:sysClr val="windowText" lastClr="000000"/>
              </a:solidFill>
            </a:rPr>
            <a:t> </a:t>
          </a:r>
          <a:r>
            <a:rPr lang="en-US" sz="1100" b="0" i="1" baseline="0">
              <a:solidFill>
                <a:schemeClr val="dk1"/>
              </a:solidFill>
              <a:effectLst/>
              <a:latin typeface="+mn-lt"/>
              <a:ea typeface="+mn-ea"/>
              <a:cs typeface="+mn-cs"/>
            </a:rPr>
            <a:t>This is fraction of wealth at the end of every year before costs have been deducted.</a:t>
          </a:r>
        </a:p>
        <a:p>
          <a:pPr eaLnBrk="1" fontAlgn="auto" latinLnBrk="0" hangingPunct="1"/>
          <a:r>
            <a:rPr lang="en-US" sz="1100" b="0" i="1" baseline="0">
              <a:solidFill>
                <a:schemeClr val="dk1"/>
              </a:solidFill>
              <a:effectLst/>
              <a:latin typeface="+mn-lt"/>
              <a:ea typeface="+mn-ea"/>
              <a:cs typeface="+mn-cs"/>
            </a:rPr>
            <a:t>-</a:t>
          </a:r>
          <a:r>
            <a:rPr lang="en-US" sz="1100" b="1" i="1" baseline="0">
              <a:solidFill>
                <a:schemeClr val="dk1"/>
              </a:solidFill>
              <a:effectLst/>
              <a:latin typeface="+mn-lt"/>
              <a:ea typeface="+mn-ea"/>
              <a:cs typeface="+mn-cs"/>
            </a:rPr>
            <a:t> Percentage of contributions: </a:t>
          </a:r>
          <a:r>
            <a:rPr lang="en-US" sz="1100" b="0" i="1" baseline="0">
              <a:solidFill>
                <a:schemeClr val="dk1"/>
              </a:solidFill>
              <a:effectLst/>
              <a:latin typeface="+mn-lt"/>
              <a:ea typeface="+mn-ea"/>
              <a:cs typeface="+mn-cs"/>
            </a:rPr>
            <a:t> This is the fraction of gross contributions before other costs are deducted.</a:t>
          </a:r>
          <a:endParaRPr lang="en-US">
            <a:effectLst/>
          </a:endParaRPr>
        </a:p>
        <a:p>
          <a:pPr eaLnBrk="1" fontAlgn="auto" latinLnBrk="0" hangingPunct="1"/>
          <a:r>
            <a:rPr lang="en-US" sz="1100" b="0" i="1" baseline="0">
              <a:solidFill>
                <a:schemeClr val="dk1"/>
              </a:solidFill>
              <a:effectLst/>
              <a:latin typeface="+mn-lt"/>
              <a:ea typeface="+mn-ea"/>
              <a:cs typeface="+mn-cs"/>
            </a:rPr>
            <a:t>-</a:t>
          </a:r>
          <a:r>
            <a:rPr lang="en-US" sz="1100" b="1" i="1" baseline="0">
              <a:solidFill>
                <a:schemeClr val="dk1"/>
              </a:solidFill>
              <a:effectLst/>
              <a:latin typeface="+mn-lt"/>
              <a:ea typeface="+mn-ea"/>
              <a:cs typeface="+mn-cs"/>
            </a:rPr>
            <a:t> Percentage of final pension wealth: </a:t>
          </a:r>
          <a:r>
            <a:rPr lang="en-US" sz="1100" b="0" i="1" baseline="0">
              <a:solidFill>
                <a:schemeClr val="dk1"/>
              </a:solidFill>
              <a:effectLst/>
              <a:latin typeface="+mn-lt"/>
              <a:ea typeface="+mn-ea"/>
              <a:cs typeface="+mn-cs"/>
            </a:rPr>
            <a:t> This is fraction of final wealth at retirement date .</a:t>
          </a:r>
          <a:endParaRPr lang="en-US">
            <a:effectLst/>
          </a:endParaRPr>
        </a:p>
        <a:p>
          <a:r>
            <a:rPr lang="en-US" sz="1100" b="0" i="1" baseline="0">
              <a:solidFill>
                <a:schemeClr val="dk1"/>
              </a:solidFill>
              <a:effectLst/>
              <a:latin typeface="+mn-lt"/>
              <a:ea typeface="+mn-ea"/>
              <a:cs typeface="+mn-cs"/>
            </a:rPr>
            <a:t>- </a:t>
          </a:r>
          <a:r>
            <a:rPr lang="en-US" sz="1100" b="1" i="1" baseline="0">
              <a:solidFill>
                <a:schemeClr val="dk1"/>
              </a:solidFill>
              <a:effectLst/>
              <a:latin typeface="+mn-lt"/>
              <a:ea typeface="+mn-ea"/>
              <a:cs typeface="+mn-cs"/>
            </a:rPr>
            <a:t>Percentage of gross annual return: </a:t>
          </a:r>
          <a:r>
            <a:rPr lang="en-US" sz="1100" b="0" i="1" baseline="0">
              <a:solidFill>
                <a:schemeClr val="dk1"/>
              </a:solidFill>
              <a:effectLst/>
              <a:latin typeface="+mn-lt"/>
              <a:ea typeface="+mn-ea"/>
              <a:cs typeface="+mn-cs"/>
            </a:rPr>
            <a:t>This part of the cost is charged as a fraction over the gross annual return minus the </a:t>
          </a:r>
          <a:r>
            <a:rPr lang="en-US" sz="1100" b="1" i="1" baseline="0">
              <a:solidFill>
                <a:schemeClr val="dk1"/>
              </a:solidFill>
              <a:effectLst/>
              <a:latin typeface="+mn-lt"/>
              <a:ea typeface="+mn-ea"/>
              <a:cs typeface="+mn-cs"/>
            </a:rPr>
            <a:t>return threshold</a:t>
          </a:r>
          <a:r>
            <a:rPr lang="en-US" sz="1100" b="0" i="1" baseline="0">
              <a:solidFill>
                <a:schemeClr val="dk1"/>
              </a:solidFill>
              <a:effectLst/>
              <a:latin typeface="+mn-lt"/>
              <a:ea typeface="+mn-ea"/>
              <a:cs typeface="+mn-cs"/>
            </a:rPr>
            <a:t>.  Hence the gross annual return should outperform the return threshold level in order to generate costs. This cost is floored at zero to ensure costs are always non-negative. </a:t>
          </a:r>
        </a:p>
        <a:p>
          <a:r>
            <a:rPr lang="en-US" sz="1100" b="0" i="1" baseline="0">
              <a:solidFill>
                <a:schemeClr val="dk1"/>
              </a:solidFill>
              <a:effectLst/>
              <a:latin typeface="+mn-lt"/>
              <a:ea typeface="+mn-ea"/>
              <a:cs typeface="+mn-cs"/>
            </a:rPr>
            <a:t>- </a:t>
          </a:r>
          <a:r>
            <a:rPr lang="en-US" sz="1100" b="1" i="1" baseline="0">
              <a:solidFill>
                <a:schemeClr val="dk1"/>
              </a:solidFill>
              <a:effectLst/>
              <a:latin typeface="+mn-lt"/>
              <a:ea typeface="+mn-ea"/>
              <a:cs typeface="+mn-cs"/>
            </a:rPr>
            <a:t>Costs per asset class: </a:t>
          </a:r>
          <a:r>
            <a:rPr lang="en-US" sz="1100" b="0" i="1" baseline="0">
              <a:solidFill>
                <a:schemeClr val="dk1"/>
              </a:solidFill>
              <a:effectLst/>
              <a:latin typeface="+mn-lt"/>
              <a:ea typeface="+mn-ea"/>
              <a:cs typeface="+mn-cs"/>
            </a:rPr>
            <a:t>costs can be detailed out to holdings in individual investments in the Asset menu sheet. These costs apply on top of the total portfolio costs.</a:t>
          </a:r>
          <a:endParaRPr lang="en-US" i="1">
            <a:effectLst/>
          </a:endParaRPr>
        </a:p>
        <a:p>
          <a:endParaRPr lang="en-US" sz="1100" i="1">
            <a:solidFill>
              <a:sysClr val="windowText" lastClr="000000"/>
            </a:solidFill>
          </a:endParaRPr>
        </a:p>
        <a:p>
          <a:endParaRPr lang="en-US" sz="1100" i="1">
            <a:solidFill>
              <a:sysClr val="windowText" lastClr="00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US" sz="1200" b="1" i="1" baseline="0">
              <a:solidFill>
                <a:schemeClr val="dk1"/>
              </a:solidFill>
              <a:effectLst/>
              <a:latin typeface="+mn-lt"/>
              <a:ea typeface="+mn-ea"/>
              <a:cs typeface="+mn-cs"/>
            </a:rPr>
            <a:t>Pay-out product</a:t>
          </a:r>
        </a:p>
        <a:p>
          <a:pPr marL="0" marR="0" indent="0" defTabSz="914400" eaLnBrk="1" fontAlgn="auto" latinLnBrk="0" hangingPunct="1">
            <a:lnSpc>
              <a:spcPct val="100000"/>
            </a:lnSpc>
            <a:spcBef>
              <a:spcPts val="0"/>
            </a:spcBef>
            <a:spcAft>
              <a:spcPts val="0"/>
            </a:spcAft>
            <a:buClrTx/>
            <a:buSzTx/>
            <a:buFontTx/>
            <a:buNone/>
            <a:tabLst/>
            <a:defRPr/>
          </a:pPr>
          <a:r>
            <a:rPr lang="en-US" sz="1100" b="0" i="1" baseline="0">
              <a:solidFill>
                <a:schemeClr val="dk1"/>
              </a:solidFill>
              <a:effectLst/>
              <a:latin typeface="+mn-lt"/>
              <a:ea typeface="+mn-ea"/>
              <a:cs typeface="+mn-cs"/>
            </a:rPr>
            <a:t>At retirement date,  the pension wealth is utilized for retirement income. </a:t>
          </a:r>
        </a:p>
        <a:p>
          <a:pPr marL="0" marR="0" indent="0" defTabSz="914400" eaLnBrk="1" fontAlgn="auto" latinLnBrk="0" hangingPunct="1">
            <a:lnSpc>
              <a:spcPct val="100000"/>
            </a:lnSpc>
            <a:spcBef>
              <a:spcPts val="0"/>
            </a:spcBef>
            <a:spcAft>
              <a:spcPts val="0"/>
            </a:spcAft>
            <a:buClrTx/>
            <a:buSzTx/>
            <a:buFontTx/>
            <a:buNone/>
            <a:tabLst/>
            <a:defRPr/>
          </a:pPr>
          <a:endParaRPr lang="en-US" sz="1100" b="0" i="1"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0" i="1" baseline="0">
              <a:solidFill>
                <a:schemeClr val="dk1"/>
              </a:solidFill>
              <a:effectLst/>
              <a:latin typeface="+mn-lt"/>
              <a:ea typeface="+mn-ea"/>
              <a:cs typeface="+mn-cs"/>
            </a:rPr>
            <a:t>This model defines the following pay-out options:</a:t>
          </a:r>
        </a:p>
        <a:p>
          <a:pPr marL="0" marR="0" indent="0" defTabSz="914400" eaLnBrk="1" fontAlgn="auto" latinLnBrk="0" hangingPunct="1">
            <a:lnSpc>
              <a:spcPct val="100000"/>
            </a:lnSpc>
            <a:spcBef>
              <a:spcPts val="0"/>
            </a:spcBef>
            <a:spcAft>
              <a:spcPts val="0"/>
            </a:spcAft>
            <a:buClrTx/>
            <a:buSzTx/>
            <a:buFontTx/>
            <a:buNone/>
            <a:tabLst/>
            <a:defRPr/>
          </a:pPr>
          <a:r>
            <a:rPr lang="en-US" sz="1100" b="0" i="1" baseline="0">
              <a:solidFill>
                <a:schemeClr val="dk1"/>
              </a:solidFill>
              <a:effectLst/>
              <a:latin typeface="+mn-lt"/>
              <a:ea typeface="+mn-ea"/>
              <a:cs typeface="+mn-cs"/>
            </a:rPr>
            <a:t>1. </a:t>
          </a:r>
          <a:r>
            <a:rPr lang="en-US" sz="1100" b="1" i="1" baseline="0">
              <a:solidFill>
                <a:schemeClr val="dk1"/>
              </a:solidFill>
              <a:effectLst/>
              <a:latin typeface="+mn-lt"/>
              <a:ea typeface="+mn-ea"/>
              <a:cs typeface="+mn-cs"/>
            </a:rPr>
            <a:t>Lump sum </a:t>
          </a:r>
          <a:r>
            <a:rPr lang="en-US" sz="1100" b="0" i="1" baseline="0">
              <a:solidFill>
                <a:schemeClr val="dk1"/>
              </a:solidFill>
              <a:effectLst/>
              <a:latin typeface="+mn-lt"/>
              <a:ea typeface="+mn-ea"/>
              <a:cs typeface="+mn-cs"/>
            </a:rPr>
            <a:t>- Total pension wealth is paid out directly to the plan member as a lump sum.</a:t>
          </a:r>
        </a:p>
        <a:p>
          <a:pPr marL="0" marR="0" indent="0" defTabSz="914400" eaLnBrk="1" fontAlgn="auto" latinLnBrk="0" hangingPunct="1">
            <a:lnSpc>
              <a:spcPct val="100000"/>
            </a:lnSpc>
            <a:spcBef>
              <a:spcPts val="0"/>
            </a:spcBef>
            <a:spcAft>
              <a:spcPts val="0"/>
            </a:spcAft>
            <a:buClrTx/>
            <a:buSzTx/>
            <a:buFontTx/>
            <a:buNone/>
            <a:tabLst/>
            <a:defRPr/>
          </a:pPr>
          <a:r>
            <a:rPr lang="en-US" sz="1100" b="0" i="1" baseline="0">
              <a:solidFill>
                <a:schemeClr val="dk1"/>
              </a:solidFill>
              <a:effectLst/>
              <a:latin typeface="+mn-lt"/>
              <a:ea typeface="+mn-ea"/>
              <a:cs typeface="+mn-cs"/>
            </a:rPr>
            <a:t>2. </a:t>
          </a:r>
          <a:r>
            <a:rPr lang="en-US" sz="1100" b="1" i="1" baseline="0">
              <a:solidFill>
                <a:schemeClr val="dk1"/>
              </a:solidFill>
              <a:effectLst/>
              <a:latin typeface="+mn-lt"/>
              <a:ea typeface="+mn-ea"/>
              <a:cs typeface="+mn-cs"/>
            </a:rPr>
            <a:t>Nominal annuity -  </a:t>
          </a:r>
          <a:r>
            <a:rPr lang="en-US" sz="1100" b="0" i="1" baseline="0">
              <a:solidFill>
                <a:schemeClr val="dk1"/>
              </a:solidFill>
              <a:effectLst/>
              <a:latin typeface="+mn-lt"/>
              <a:ea typeface="+mn-ea"/>
              <a:cs typeface="+mn-cs"/>
            </a:rPr>
            <a:t>Total pension wealth is converted in a constant nominal income stream over the remaining lifetime of the member. Hence, the member is protected from investment risk (fixed nominal income) and longevity risk (income stream over remaining life time).</a:t>
          </a:r>
        </a:p>
        <a:p>
          <a:pPr marL="0" marR="0" indent="0" defTabSz="914400" eaLnBrk="1" fontAlgn="auto" latinLnBrk="0" hangingPunct="1">
            <a:lnSpc>
              <a:spcPct val="100000"/>
            </a:lnSpc>
            <a:spcBef>
              <a:spcPts val="0"/>
            </a:spcBef>
            <a:spcAft>
              <a:spcPts val="0"/>
            </a:spcAft>
            <a:buClrTx/>
            <a:buSzTx/>
            <a:buFontTx/>
            <a:buNone/>
            <a:tabLst/>
            <a:defRPr/>
          </a:pPr>
          <a:r>
            <a:rPr lang="en-US" sz="1100" b="0" i="1" baseline="0">
              <a:solidFill>
                <a:schemeClr val="dk1"/>
              </a:solidFill>
              <a:effectLst/>
              <a:latin typeface="+mn-lt"/>
              <a:ea typeface="+mn-ea"/>
              <a:cs typeface="+mn-cs"/>
            </a:rPr>
            <a:t>3. </a:t>
          </a:r>
          <a:r>
            <a:rPr lang="en-US" sz="1100" b="1" i="1" baseline="0">
              <a:solidFill>
                <a:schemeClr val="dk1"/>
              </a:solidFill>
              <a:effectLst/>
              <a:latin typeface="+mn-lt"/>
              <a:ea typeface="+mn-ea"/>
              <a:cs typeface="+mn-cs"/>
            </a:rPr>
            <a:t>Inflation-linked annuity - </a:t>
          </a:r>
          <a:r>
            <a:rPr lang="en-US" sz="1100" b="0" i="1" baseline="0">
              <a:solidFill>
                <a:schemeClr val="dk1"/>
              </a:solidFill>
              <a:effectLst/>
              <a:latin typeface="+mn-lt"/>
              <a:ea typeface="+mn-ea"/>
              <a:cs typeface="+mn-cs"/>
            </a:rPr>
            <a:t>Is similar to the nominal annuity, but then the income stream grows with price inflation. Hence the income stream maintains a constant purchasing power. This pay-out option protects the member from inflation, investment and longevity risk.</a:t>
          </a:r>
        </a:p>
        <a:p>
          <a:pPr marL="0" marR="0" indent="0" defTabSz="914400" eaLnBrk="1" fontAlgn="auto" latinLnBrk="0" hangingPunct="1">
            <a:lnSpc>
              <a:spcPct val="100000"/>
            </a:lnSpc>
            <a:spcBef>
              <a:spcPts val="0"/>
            </a:spcBef>
            <a:spcAft>
              <a:spcPts val="0"/>
            </a:spcAft>
            <a:buClrTx/>
            <a:buSzTx/>
            <a:buFontTx/>
            <a:buNone/>
            <a:tabLst/>
            <a:defRPr/>
          </a:pPr>
          <a:r>
            <a:rPr lang="en-US" sz="1100" b="0" i="1" baseline="0">
              <a:solidFill>
                <a:schemeClr val="dk1"/>
              </a:solidFill>
              <a:effectLst/>
              <a:latin typeface="+mn-lt"/>
              <a:ea typeface="+mn-ea"/>
              <a:cs typeface="+mn-cs"/>
            </a:rPr>
            <a:t>4. </a:t>
          </a:r>
          <a:r>
            <a:rPr lang="en-US" sz="1100" b="1" i="1" baseline="0">
              <a:solidFill>
                <a:schemeClr val="dk1"/>
              </a:solidFill>
              <a:effectLst/>
              <a:latin typeface="+mn-lt"/>
              <a:ea typeface="+mn-ea"/>
              <a:cs typeface="+mn-cs"/>
            </a:rPr>
            <a:t>Programmed  drawdown - </a:t>
          </a:r>
          <a:r>
            <a:rPr lang="en-US" sz="1100" b="0" i="1" baseline="0">
              <a:solidFill>
                <a:schemeClr val="dk1"/>
              </a:solidFill>
              <a:effectLst/>
              <a:latin typeface="+mn-lt"/>
              <a:ea typeface="+mn-ea"/>
              <a:cs typeface="+mn-cs"/>
            </a:rPr>
            <a:t>Pension wealth is continued to be invested over the retirement period. A constant income is drawn down from the fund based based on the assumption that the member lives up to his/her expected life time and investments perform up to expectation. This pay-out option exposes the member to inflation, investment and longevity risk. In particular, when the member lives shorter than his/her life expectancy at retirement, he/she leaves his/her residual funds as bequest. While if the member lives longer than his/her life expectancy, the funds are completely depleted and no further income from the fund can be draw down. The funds are invested for 75% in a nominal bond matching the cash-flows of the drawdown. The remaining 25% is invested in equities. The amount of income drawdown is set such that the income stream is constant when all investments meet their expected returns. When returns are lower than income is reduced and vice versa. In practise, a wide variety of drawdowns is possible and the current model for programmed drawdown only provides a stylized and simplified  representation of programmed drawdowns.</a:t>
          </a:r>
        </a:p>
        <a:p>
          <a:pPr marL="0" marR="0" indent="0" defTabSz="914400" eaLnBrk="1" fontAlgn="auto" latinLnBrk="0" hangingPunct="1">
            <a:lnSpc>
              <a:spcPct val="100000"/>
            </a:lnSpc>
            <a:spcBef>
              <a:spcPts val="0"/>
            </a:spcBef>
            <a:spcAft>
              <a:spcPts val="0"/>
            </a:spcAft>
            <a:buClrTx/>
            <a:buSzTx/>
            <a:buFontTx/>
            <a:buNone/>
            <a:tabLst/>
            <a:defRPr/>
          </a:pPr>
          <a:endParaRPr lang="en-US" sz="1100" b="1" i="1"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0" i="1" baseline="0">
              <a:solidFill>
                <a:schemeClr val="dk1"/>
              </a:solidFill>
              <a:effectLst/>
              <a:latin typeface="+mn-lt"/>
              <a:ea typeface="+mn-ea"/>
              <a:cs typeface="+mn-cs"/>
            </a:rPr>
            <a:t>The choice of pay-out option is often an important determinant for setting up a life cycle investment strategy for the DC plan. Please indicate which of these pay-out options is most representative for the pay-out option the DC scheme targets.</a:t>
          </a:r>
        </a:p>
        <a:p>
          <a:pPr marL="0" marR="0" indent="0" defTabSz="914400" eaLnBrk="1" fontAlgn="auto" latinLnBrk="0" hangingPunct="1">
            <a:lnSpc>
              <a:spcPct val="100000"/>
            </a:lnSpc>
            <a:spcBef>
              <a:spcPts val="0"/>
            </a:spcBef>
            <a:spcAft>
              <a:spcPts val="0"/>
            </a:spcAft>
            <a:buClrTx/>
            <a:buSzTx/>
            <a:buFontTx/>
            <a:buNone/>
            <a:tabLst/>
            <a:defRPr/>
          </a:pPr>
          <a:endParaRPr lang="en-US" sz="1100" b="1" i="1"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US">
            <a:effectLst/>
          </a:endParaRPr>
        </a:p>
      </xdr:txBody>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6</xdr:col>
      <xdr:colOff>1237730</xdr:colOff>
      <xdr:row>5</xdr:row>
      <xdr:rowOff>130752</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86100" y="0"/>
          <a:ext cx="1799705" cy="122612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7</xdr:col>
          <xdr:colOff>685800</xdr:colOff>
          <xdr:row>9</xdr:row>
          <xdr:rowOff>47625</xdr:rowOff>
        </xdr:from>
        <xdr:to>
          <xdr:col>7</xdr:col>
          <xdr:colOff>981075</xdr:colOff>
          <xdr:row>10</xdr:row>
          <xdr:rowOff>38100</xdr:rowOff>
        </xdr:to>
        <xdr:sp macro="" textlink="">
          <xdr:nvSpPr>
            <xdr:cNvPr id="11324" name="btnNextRecord" hidden="1">
              <a:extLst>
                <a:ext uri="{63B3BB69-23CF-44E3-9099-C40C66FF867C}">
                  <a14:compatExt spid="_x0000_s11324"/>
                </a:ext>
                <a:ext uri="{FF2B5EF4-FFF2-40B4-BE49-F238E27FC236}">
                  <a16:creationId xmlns:a16="http://schemas.microsoft.com/office/drawing/2014/main" id="{00000000-0008-0000-0700-00003C2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GB" sz="1100" b="0" i="0" u="none" strike="noStrike" baseline="0">
                  <a:solidFill>
                    <a:srgbClr val="000000"/>
                  </a:solidFill>
                  <a:latin typeface="Calibri"/>
                  <a:cs typeface="Calibri"/>
                </a:rPr>
                <a:t>&gt;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9</xdr:row>
          <xdr:rowOff>47625</xdr:rowOff>
        </xdr:from>
        <xdr:to>
          <xdr:col>7</xdr:col>
          <xdr:colOff>609600</xdr:colOff>
          <xdr:row>10</xdr:row>
          <xdr:rowOff>38100</xdr:rowOff>
        </xdr:to>
        <xdr:sp macro="" textlink="">
          <xdr:nvSpPr>
            <xdr:cNvPr id="11325" name="btnPreviousRecord" hidden="1">
              <a:extLst>
                <a:ext uri="{63B3BB69-23CF-44E3-9099-C40C66FF867C}">
                  <a14:compatExt spid="_x0000_s11325"/>
                </a:ext>
                <a:ext uri="{FF2B5EF4-FFF2-40B4-BE49-F238E27FC236}">
                  <a16:creationId xmlns:a16="http://schemas.microsoft.com/office/drawing/2014/main" id="{00000000-0008-0000-0700-00003D2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GB" sz="1100" b="0" i="0" u="none" strike="noStrike" baseline="0">
                  <a:solidFill>
                    <a:srgbClr val="000000"/>
                  </a:solidFill>
                  <a:latin typeface="Calibri"/>
                  <a:cs typeface="Calibri"/>
                </a:rPr>
                <a:t>&lt;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1000125</xdr:colOff>
          <xdr:row>9</xdr:row>
          <xdr:rowOff>47625</xdr:rowOff>
        </xdr:from>
        <xdr:to>
          <xdr:col>7</xdr:col>
          <xdr:colOff>1295400</xdr:colOff>
          <xdr:row>10</xdr:row>
          <xdr:rowOff>38100</xdr:rowOff>
        </xdr:to>
        <xdr:sp macro="" textlink="">
          <xdr:nvSpPr>
            <xdr:cNvPr id="11326" name="btnLastRecord" hidden="1">
              <a:extLst>
                <a:ext uri="{63B3BB69-23CF-44E3-9099-C40C66FF867C}">
                  <a14:compatExt spid="_x0000_s11326"/>
                </a:ext>
                <a:ext uri="{FF2B5EF4-FFF2-40B4-BE49-F238E27FC236}">
                  <a16:creationId xmlns:a16="http://schemas.microsoft.com/office/drawing/2014/main" id="{00000000-0008-0000-0700-00003E2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GB" sz="1100" b="0" i="0" u="none" strike="noStrike" baseline="0">
                  <a:solidFill>
                    <a:srgbClr val="000000"/>
                  </a:solidFill>
                  <a:latin typeface="Calibri"/>
                  <a:cs typeface="Calibri"/>
                </a:rPr>
                <a:t>&gt;|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1428750</xdr:colOff>
          <xdr:row>9</xdr:row>
          <xdr:rowOff>47625</xdr:rowOff>
        </xdr:from>
        <xdr:to>
          <xdr:col>7</xdr:col>
          <xdr:colOff>285750</xdr:colOff>
          <xdr:row>10</xdr:row>
          <xdr:rowOff>38100</xdr:rowOff>
        </xdr:to>
        <xdr:sp macro="" textlink="">
          <xdr:nvSpPr>
            <xdr:cNvPr id="11327" name="btnFirstRecord" hidden="1">
              <a:extLst>
                <a:ext uri="{63B3BB69-23CF-44E3-9099-C40C66FF867C}">
                  <a14:compatExt spid="_x0000_s11327"/>
                </a:ext>
                <a:ext uri="{FF2B5EF4-FFF2-40B4-BE49-F238E27FC236}">
                  <a16:creationId xmlns:a16="http://schemas.microsoft.com/office/drawing/2014/main" id="{00000000-0008-0000-0700-00003F2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GB" sz="1100" b="0" i="0" u="none" strike="noStrike" baseline="0">
                  <a:solidFill>
                    <a:srgbClr val="000000"/>
                  </a:solidFill>
                  <a:latin typeface="Calibri"/>
                  <a:cs typeface="Calibri"/>
                </a:rPr>
                <a:t>|&lt;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1143000</xdr:colOff>
          <xdr:row>10</xdr:row>
          <xdr:rowOff>114300</xdr:rowOff>
        </xdr:from>
        <xdr:to>
          <xdr:col>7</xdr:col>
          <xdr:colOff>285750</xdr:colOff>
          <xdr:row>11</xdr:row>
          <xdr:rowOff>123825</xdr:rowOff>
        </xdr:to>
        <xdr:sp macro="" textlink="">
          <xdr:nvSpPr>
            <xdr:cNvPr id="11329" name="btnAddAsset" hidden="1">
              <a:extLst>
                <a:ext uri="{63B3BB69-23CF-44E3-9099-C40C66FF867C}">
                  <a14:compatExt spid="_x0000_s11329"/>
                </a:ext>
                <a:ext uri="{FF2B5EF4-FFF2-40B4-BE49-F238E27FC236}">
                  <a16:creationId xmlns:a16="http://schemas.microsoft.com/office/drawing/2014/main" id="{00000000-0008-0000-0700-0000412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GB" sz="1100" b="0" i="0" u="none" strike="noStrike" baseline="0">
                  <a:solidFill>
                    <a:srgbClr val="000000"/>
                  </a:solidFill>
                  <a:latin typeface="Calibri"/>
                  <a:cs typeface="Calibri"/>
                </a:rPr>
                <a:t>Add</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10</xdr:row>
          <xdr:rowOff>114300</xdr:rowOff>
        </xdr:from>
        <xdr:to>
          <xdr:col>7</xdr:col>
          <xdr:colOff>933450</xdr:colOff>
          <xdr:row>11</xdr:row>
          <xdr:rowOff>123825</xdr:rowOff>
        </xdr:to>
        <xdr:sp macro="" textlink="">
          <xdr:nvSpPr>
            <xdr:cNvPr id="11330" name="btnDeleteAsset" hidden="1">
              <a:extLst>
                <a:ext uri="{63B3BB69-23CF-44E3-9099-C40C66FF867C}">
                  <a14:compatExt spid="_x0000_s11330"/>
                </a:ext>
                <a:ext uri="{FF2B5EF4-FFF2-40B4-BE49-F238E27FC236}">
                  <a16:creationId xmlns:a16="http://schemas.microsoft.com/office/drawing/2014/main" id="{00000000-0008-0000-0700-0000422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GB" sz="1100" b="0" i="0" u="none" strike="noStrike" baseline="0">
                  <a:solidFill>
                    <a:srgbClr val="000000"/>
                  </a:solidFill>
                  <a:latin typeface="Calibri"/>
                  <a:cs typeface="Calibri"/>
                </a:rPr>
                <a:t>Delete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1009650</xdr:colOff>
          <xdr:row>10</xdr:row>
          <xdr:rowOff>114300</xdr:rowOff>
        </xdr:from>
        <xdr:to>
          <xdr:col>7</xdr:col>
          <xdr:colOff>1609725</xdr:colOff>
          <xdr:row>11</xdr:row>
          <xdr:rowOff>123825</xdr:rowOff>
        </xdr:to>
        <xdr:sp macro="" textlink="">
          <xdr:nvSpPr>
            <xdr:cNvPr id="11331" name="btnSaveAsset" hidden="1">
              <a:extLst>
                <a:ext uri="{63B3BB69-23CF-44E3-9099-C40C66FF867C}">
                  <a14:compatExt spid="_x0000_s11331"/>
                </a:ext>
                <a:ext uri="{FF2B5EF4-FFF2-40B4-BE49-F238E27FC236}">
                  <a16:creationId xmlns:a16="http://schemas.microsoft.com/office/drawing/2014/main" id="{00000000-0008-0000-0700-0000432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GB" sz="1100" b="0" i="0" u="none" strike="noStrike" baseline="0">
                  <a:solidFill>
                    <a:srgbClr val="000000"/>
                  </a:solidFill>
                  <a:latin typeface="Calibri"/>
                  <a:cs typeface="Calibri"/>
                </a:rPr>
                <a:t>Save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1114425</xdr:colOff>
          <xdr:row>12</xdr:row>
          <xdr:rowOff>0</xdr:rowOff>
        </xdr:from>
        <xdr:to>
          <xdr:col>7</xdr:col>
          <xdr:colOff>590550</xdr:colOff>
          <xdr:row>13</xdr:row>
          <xdr:rowOff>0</xdr:rowOff>
        </xdr:to>
        <xdr:sp macro="" textlink="">
          <xdr:nvSpPr>
            <xdr:cNvPr id="11344" name="btnMoveUpAsset" hidden="1">
              <a:extLst>
                <a:ext uri="{63B3BB69-23CF-44E3-9099-C40C66FF867C}">
                  <a14:compatExt spid="_x0000_s11344"/>
                </a:ext>
                <a:ext uri="{FF2B5EF4-FFF2-40B4-BE49-F238E27FC236}">
                  <a16:creationId xmlns:a16="http://schemas.microsoft.com/office/drawing/2014/main" id="{00000000-0008-0000-0700-0000502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GB" sz="1100" b="0" i="0" u="none" strike="noStrike" baseline="0">
                  <a:solidFill>
                    <a:srgbClr val="000000"/>
                  </a:solidFill>
                  <a:latin typeface="Calibri"/>
                  <a:cs typeface="Calibri"/>
                </a:rPr>
                <a:t>Move Up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704850</xdr:colOff>
          <xdr:row>12</xdr:row>
          <xdr:rowOff>0</xdr:rowOff>
        </xdr:from>
        <xdr:to>
          <xdr:col>7</xdr:col>
          <xdr:colOff>1638300</xdr:colOff>
          <xdr:row>13</xdr:row>
          <xdr:rowOff>0</xdr:rowOff>
        </xdr:to>
        <xdr:sp macro="" textlink="">
          <xdr:nvSpPr>
            <xdr:cNvPr id="11346" name="btnMoveDownAsset" hidden="1">
              <a:extLst>
                <a:ext uri="{63B3BB69-23CF-44E3-9099-C40C66FF867C}">
                  <a14:compatExt spid="_x0000_s11346"/>
                </a:ext>
                <a:ext uri="{FF2B5EF4-FFF2-40B4-BE49-F238E27FC236}">
                  <a16:creationId xmlns:a16="http://schemas.microsoft.com/office/drawing/2014/main" id="{00000000-0008-0000-0700-0000522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GB" sz="1100" b="0" i="0" u="none" strike="noStrike" baseline="0">
                  <a:solidFill>
                    <a:srgbClr val="000000"/>
                  </a:solidFill>
                  <a:latin typeface="Calibri"/>
                  <a:cs typeface="Calibri"/>
                </a:rPr>
                <a:t>Move Down</a:t>
              </a:r>
            </a:p>
          </xdr:txBody>
        </xdr:sp>
        <xdr:clientData fPrintsWithSheet="0"/>
      </xdr:twoCellAnchor>
    </mc:Choice>
    <mc:Fallback/>
  </mc:AlternateContent>
  <xdr:oneCellAnchor>
    <xdr:from>
      <xdr:col>12</xdr:col>
      <xdr:colOff>238125</xdr:colOff>
      <xdr:row>7</xdr:row>
      <xdr:rowOff>19050</xdr:rowOff>
    </xdr:from>
    <xdr:ext cx="7572375" cy="6600825"/>
    <xdr:sp macro="" textlink="">
      <xdr:nvSpPr>
        <xdr:cNvPr id="12" name="TextBox 11">
          <a:extLst>
            <a:ext uri="{FF2B5EF4-FFF2-40B4-BE49-F238E27FC236}">
              <a16:creationId xmlns:a16="http://schemas.microsoft.com/office/drawing/2014/main" id="{00000000-0008-0000-0700-00000C000000}"/>
            </a:ext>
          </a:extLst>
        </xdr:cNvPr>
        <xdr:cNvSpPr txBox="1"/>
      </xdr:nvSpPr>
      <xdr:spPr>
        <a:xfrm>
          <a:off x="11077575" y="1619250"/>
          <a:ext cx="7572375" cy="6600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en-US" sz="1100" b="0" i="1" baseline="0">
              <a:solidFill>
                <a:sysClr val="windowText" lastClr="000000"/>
              </a:solidFill>
            </a:rPr>
            <a:t>The purpose of this sheet is to set up the Asset Menu by specifying the  investments assets  of the the DC plan.</a:t>
          </a:r>
        </a:p>
        <a:p>
          <a:endParaRPr lang="en-US" sz="1100" b="0" i="1" baseline="0">
            <a:solidFill>
              <a:sysClr val="windowText" lastClr="000000"/>
            </a:solidFill>
          </a:endParaRPr>
        </a:p>
        <a:p>
          <a:r>
            <a:rPr lang="en-US" sz="1100" b="0" i="1" baseline="0">
              <a:solidFill>
                <a:sysClr val="windowText" lastClr="000000"/>
              </a:solidFill>
            </a:rPr>
            <a:t>Specify all the assets that are needed by the three representative plan members. The Asset Menu is a table listing all the specified assets. You cannot edit the table directly, but rather use the controls in the Control -box to navigate and edit the table. An asset that is activated is indicated in yellow in the Asset Menu table. Its' details are presented as a record in the Asset specification-box. These can be editted and saved to the Asset Menu table using the Save-button from the Control-box.</a:t>
          </a:r>
        </a:p>
        <a:p>
          <a:endParaRPr lang="en-US" sz="1100" b="0" i="1" baseline="0">
            <a:solidFill>
              <a:sysClr val="windowText" lastClr="000000"/>
            </a:solidFill>
          </a:endParaRPr>
        </a:p>
        <a:p>
          <a:r>
            <a:rPr lang="en-US" sz="1100" b="1" i="1" baseline="0">
              <a:solidFill>
                <a:sysClr val="windowText" lastClr="000000"/>
              </a:solidFill>
            </a:rPr>
            <a:t>Control box</a:t>
          </a:r>
        </a:p>
        <a:p>
          <a:r>
            <a:rPr lang="en-US" sz="1100" b="0" i="1" baseline="0">
              <a:solidFill>
                <a:sysClr val="windowText" lastClr="000000"/>
              </a:solidFill>
            </a:rPr>
            <a:t>Assets in the Asset Menu table are numbered. The Asset number in the Control -box indicates which asset class is actived. The details of the activated asset are shown in the Asset specification-box . </a:t>
          </a:r>
        </a:p>
        <a:p>
          <a:endParaRPr lang="en-US" sz="1100" b="0" i="1" baseline="0">
            <a:solidFill>
              <a:sysClr val="windowText" lastClr="000000"/>
            </a:solidFill>
          </a:endParaRPr>
        </a:p>
        <a:p>
          <a:r>
            <a:rPr lang="en-US" sz="1100" b="0" i="1" baseline="0">
              <a:solidFill>
                <a:sysClr val="windowText" lastClr="000000"/>
              </a:solidFill>
            </a:rPr>
            <a:t>The buttons on the top row allow the user to navigate through the table to the first, previous, next or last asset class respectively. </a:t>
          </a:r>
        </a:p>
        <a:p>
          <a:endParaRPr lang="en-US" sz="1100" b="0" i="1" baseline="0">
            <a:solidFill>
              <a:sysClr val="windowText" lastClr="000000"/>
            </a:solidFill>
          </a:endParaRPr>
        </a:p>
        <a:p>
          <a:r>
            <a:rPr lang="en-US" sz="1100" b="0" i="1" baseline="0">
              <a:solidFill>
                <a:sysClr val="windowText" lastClr="000000"/>
              </a:solidFill>
            </a:rPr>
            <a:t>A new asset class can be added below the activated asset via the Add button.</a:t>
          </a:r>
        </a:p>
        <a:p>
          <a:r>
            <a:rPr lang="en-US" sz="1100" b="0" i="1" baseline="0">
              <a:solidFill>
                <a:sysClr val="windowText" lastClr="000000"/>
              </a:solidFill>
            </a:rPr>
            <a:t>Note: the  maximum number of assets that can be specified is 20.</a:t>
          </a:r>
          <a:br>
            <a:rPr lang="en-US" sz="1100" b="0" i="1" baseline="0">
              <a:solidFill>
                <a:sysClr val="windowText" lastClr="000000"/>
              </a:solidFill>
            </a:rPr>
          </a:br>
          <a:r>
            <a:rPr lang="en-US" sz="1100" b="0" i="1" baseline="0">
              <a:solidFill>
                <a:sysClr val="windowText" lastClr="000000"/>
              </a:solidFill>
            </a:rPr>
            <a:t/>
          </a:r>
          <a:br>
            <a:rPr lang="en-US" sz="1100" b="0" i="1" baseline="0">
              <a:solidFill>
                <a:sysClr val="windowText" lastClr="000000"/>
              </a:solidFill>
            </a:rPr>
          </a:br>
          <a:r>
            <a:rPr lang="en-US" sz="1100" b="0" i="1" baseline="0">
              <a:solidFill>
                <a:sysClr val="windowText" lastClr="000000"/>
              </a:solidFill>
            </a:rPr>
            <a:t>The activated asset can be deleted by clicking the Delete button.</a:t>
          </a:r>
        </a:p>
        <a:p>
          <a:r>
            <a:rPr lang="en-US" sz="1100" b="0" i="1" baseline="0">
              <a:solidFill>
                <a:sysClr val="windowText" lastClr="000000"/>
              </a:solidFill>
            </a:rPr>
            <a:t>Note: the minimum number of assets that have to be specified is 1.</a:t>
          </a:r>
        </a:p>
        <a:p>
          <a:endParaRPr lang="en-US" sz="1100" b="0" i="1" baseline="0">
            <a:solidFill>
              <a:sysClr val="windowText" lastClr="000000"/>
            </a:solidFill>
          </a:endParaRPr>
        </a:p>
        <a:p>
          <a:r>
            <a:rPr lang="en-US" sz="1100" b="0" i="1" baseline="0">
              <a:solidFill>
                <a:sysClr val="windowText" lastClr="000000"/>
              </a:solidFill>
            </a:rPr>
            <a:t>Changes can be made to the activated asset class by editing its fields in the Asset specification-box. The changes can be saved by clicking the Save-button.</a:t>
          </a:r>
        </a:p>
        <a:p>
          <a:endParaRPr lang="en-US" sz="1100" b="0" i="1" baseline="0">
            <a:solidFill>
              <a:sysClr val="windowText" lastClr="000000"/>
            </a:solidFill>
          </a:endParaRPr>
        </a:p>
        <a:p>
          <a:r>
            <a:rPr lang="en-US" sz="1100" b="0" i="1" baseline="0">
              <a:solidFill>
                <a:sysClr val="windowText" lastClr="000000"/>
              </a:solidFill>
            </a:rPr>
            <a:t>Asset classes can be rearranged by moving the activated asset class up or down in the table by using the Move Up and Move Down -buttons respectively.</a:t>
          </a:r>
        </a:p>
        <a:p>
          <a:endParaRPr lang="en-US" sz="1100" b="1" i="1" baseline="0">
            <a:solidFill>
              <a:sysClr val="windowText" lastClr="000000"/>
            </a:solidFill>
          </a:endParaRPr>
        </a:p>
        <a:p>
          <a:r>
            <a:rPr lang="en-US" sz="1100" b="1" i="1" baseline="0">
              <a:solidFill>
                <a:schemeClr val="dk1"/>
              </a:solidFill>
              <a:effectLst/>
              <a:latin typeface="+mn-lt"/>
              <a:ea typeface="+mn-ea"/>
              <a:cs typeface="+mn-cs"/>
            </a:rPr>
            <a:t>Asset specification-box </a:t>
          </a:r>
          <a:endParaRPr lang="en-US" sz="1100" b="1" i="1" baseline="0">
            <a:solidFill>
              <a:sysClr val="windowText" lastClr="000000"/>
            </a:solidFill>
          </a:endParaRPr>
        </a:p>
        <a:p>
          <a:r>
            <a:rPr lang="en-US" sz="1100" b="0" i="1" baseline="0">
              <a:solidFill>
                <a:sysClr val="windowText" lastClr="000000"/>
              </a:solidFill>
            </a:rPr>
            <a:t>This box shows the fields of the activated asset class. These can be edited. Depending on the asset class, different fields will be displayed.</a:t>
          </a:r>
        </a:p>
        <a:p>
          <a:r>
            <a:rPr lang="en-US" sz="1100" b="0" i="1" baseline="0">
              <a:solidFill>
                <a:sysClr val="windowText" lastClr="000000"/>
              </a:solidFill>
            </a:rPr>
            <a:t>-</a:t>
          </a:r>
          <a:r>
            <a:rPr lang="en-US" sz="1100" b="1" i="1" baseline="0">
              <a:solidFill>
                <a:sysClr val="windowText" lastClr="000000"/>
              </a:solidFill>
            </a:rPr>
            <a:t> Type: </a:t>
          </a:r>
          <a:r>
            <a:rPr lang="en-US" sz="1100" b="0" i="1" baseline="0">
              <a:solidFill>
                <a:sysClr val="windowText" lastClr="000000"/>
              </a:solidFill>
            </a:rPr>
            <a:t>select a predefined asset type from the drop down menu</a:t>
          </a:r>
        </a:p>
        <a:p>
          <a:r>
            <a:rPr lang="en-US" sz="1100" b="0" i="1" baseline="0">
              <a:solidFill>
                <a:sysClr val="windowText" lastClr="000000"/>
              </a:solidFill>
            </a:rPr>
            <a:t>- </a:t>
          </a:r>
          <a:r>
            <a:rPr lang="en-US" sz="1100" b="1" i="1" baseline="0">
              <a:solidFill>
                <a:sysClr val="windowText" lastClr="000000"/>
              </a:solidFill>
            </a:rPr>
            <a:t>Asset name: </a:t>
          </a:r>
          <a:r>
            <a:rPr lang="en-US" sz="1100" b="0" i="1" baseline="0">
              <a:solidFill>
                <a:sysClr val="windowText" lastClr="000000"/>
              </a:solidFill>
            </a:rPr>
            <a:t>can be used provide a name for the asset class</a:t>
          </a:r>
        </a:p>
        <a:p>
          <a:r>
            <a:rPr lang="en-US" sz="1100" b="0" i="1" baseline="0">
              <a:solidFill>
                <a:sysClr val="windowText" lastClr="000000"/>
              </a:solidFill>
            </a:rPr>
            <a:t>- </a:t>
          </a:r>
          <a:r>
            <a:rPr lang="en-US" sz="1100" b="1" i="1" baseline="0">
              <a:solidFill>
                <a:sysClr val="windowText" lastClr="000000"/>
              </a:solidFill>
            </a:rPr>
            <a:t>Description: </a:t>
          </a:r>
          <a:r>
            <a:rPr lang="en-US" sz="1100" b="0" i="1" baseline="0">
              <a:solidFill>
                <a:sysClr val="windowText" lastClr="000000"/>
              </a:solidFill>
            </a:rPr>
            <a:t>can be used to provide extra descriptive information</a:t>
          </a:r>
        </a:p>
        <a:p>
          <a:r>
            <a:rPr lang="en-US" sz="1100" b="1" i="1" baseline="0">
              <a:solidFill>
                <a:sysClr val="windowText" lastClr="000000"/>
              </a:solidFill>
            </a:rPr>
            <a:t>- Investment costs: </a:t>
          </a:r>
          <a:r>
            <a:rPr lang="en-US" sz="1100" b="0" i="1" baseline="0">
              <a:solidFill>
                <a:sysClr val="windowText" lastClr="000000"/>
              </a:solidFill>
            </a:rPr>
            <a:t>presents the annual costs of investing in this asset as a proportion of the asset value. This cost applies on top of the Total Portfolio Cost as defined in the Product specification sheet.</a:t>
          </a:r>
        </a:p>
        <a:p>
          <a:endParaRPr lang="en-US" sz="1100" b="1" i="1" baseline="0">
            <a:solidFill>
              <a:sysClr val="windowText" lastClr="000000"/>
            </a:solidFill>
          </a:endParaRPr>
        </a:p>
        <a:p>
          <a:r>
            <a:rPr lang="en-US" sz="1100" b="0" i="1" baseline="0">
              <a:solidFill>
                <a:sysClr val="windowText" lastClr="000000"/>
              </a:solidFill>
            </a:rPr>
            <a:t>For fixed income  (Goverment Bonds and Corporate Bonds) extra fields are presented:</a:t>
          </a:r>
        </a:p>
        <a:p>
          <a:r>
            <a:rPr lang="en-US" sz="1100" b="0" i="1" baseline="0">
              <a:solidFill>
                <a:schemeClr val="dk1"/>
              </a:solidFill>
              <a:effectLst/>
              <a:latin typeface="+mn-lt"/>
              <a:ea typeface="+mn-ea"/>
              <a:cs typeface="+mn-cs"/>
            </a:rPr>
            <a:t>- </a:t>
          </a:r>
          <a:r>
            <a:rPr lang="en-US" sz="1100" b="1" i="1" baseline="0">
              <a:solidFill>
                <a:schemeClr val="dk1"/>
              </a:solidFill>
              <a:effectLst/>
              <a:latin typeface="+mn-lt"/>
              <a:ea typeface="+mn-ea"/>
              <a:cs typeface="+mn-cs"/>
            </a:rPr>
            <a:t>Duration: </a:t>
          </a:r>
          <a:r>
            <a:rPr lang="en-US" sz="1100" b="0" i="1" baseline="0">
              <a:solidFill>
                <a:schemeClr val="dk1"/>
              </a:solidFill>
              <a:effectLst/>
              <a:latin typeface="+mn-lt"/>
              <a:ea typeface="+mn-ea"/>
              <a:cs typeface="+mn-cs"/>
            </a:rPr>
            <a:t>provide the duration of the bond </a:t>
          </a:r>
        </a:p>
        <a:p>
          <a:r>
            <a:rPr lang="en-US" sz="1100" b="0" i="1" baseline="0">
              <a:solidFill>
                <a:schemeClr val="dk1"/>
              </a:solidFill>
              <a:effectLst/>
              <a:latin typeface="+mn-lt"/>
              <a:ea typeface="+mn-ea"/>
              <a:cs typeface="+mn-cs"/>
            </a:rPr>
            <a:t>- </a:t>
          </a:r>
          <a:r>
            <a:rPr lang="en-US" sz="1100" b="1" i="1" baseline="0">
              <a:solidFill>
                <a:schemeClr val="dk1"/>
              </a:solidFill>
              <a:effectLst/>
              <a:latin typeface="+mn-lt"/>
              <a:ea typeface="+mn-ea"/>
              <a:cs typeface="+mn-cs"/>
            </a:rPr>
            <a:t>Inflation Linked: </a:t>
          </a:r>
          <a:r>
            <a:rPr lang="en-US" sz="1100" b="0" i="1" baseline="0">
              <a:solidFill>
                <a:schemeClr val="dk1"/>
              </a:solidFill>
              <a:effectLst/>
              <a:latin typeface="+mn-lt"/>
              <a:ea typeface="+mn-ea"/>
              <a:cs typeface="+mn-cs"/>
            </a:rPr>
            <a:t>indicate whether the bond  is inflation-linked or not</a:t>
          </a:r>
          <a:endParaRPr lang="en-US" sz="1100" b="0" i="1" baseline="0">
            <a:solidFill>
              <a:sysClr val="windowText" lastClr="000000"/>
            </a:solidFill>
          </a:endParaRPr>
        </a:p>
        <a:p>
          <a:endParaRPr lang="en-US" sz="1100" b="0" i="1" baseline="0">
            <a:solidFill>
              <a:sysClr val="windowText" lastClr="000000"/>
            </a:solidFill>
          </a:endParaRPr>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4</xdr:col>
      <xdr:colOff>0</xdr:colOff>
      <xdr:row>1</xdr:row>
      <xdr:rowOff>59748</xdr:rowOff>
    </xdr:from>
    <xdr:to>
      <xdr:col>7</xdr:col>
      <xdr:colOff>30436</xdr:colOff>
      <xdr:row>7</xdr:row>
      <xdr:rowOff>0</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67200" y="250248"/>
          <a:ext cx="1792561" cy="122612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7</xdr:col>
          <xdr:colOff>1143000</xdr:colOff>
          <xdr:row>22</xdr:row>
          <xdr:rowOff>342901</xdr:rowOff>
        </xdr:from>
        <xdr:to>
          <xdr:col>8</xdr:col>
          <xdr:colOff>276225</xdr:colOff>
          <xdr:row>24</xdr:row>
          <xdr:rowOff>1</xdr:rowOff>
        </xdr:to>
        <xdr:sp macro="" textlink="">
          <xdr:nvSpPr>
            <xdr:cNvPr id="17415" name="chkPensionBaseFloor" hidden="1">
              <a:extLst>
                <a:ext uri="{63B3BB69-23CF-44E3-9099-C40C66FF867C}">
                  <a14:compatExt spid="_x0000_s17415"/>
                </a:ext>
                <a:ext uri="{FF2B5EF4-FFF2-40B4-BE49-F238E27FC236}">
                  <a16:creationId xmlns:a16="http://schemas.microsoft.com/office/drawing/2014/main" id="{00000000-0008-0000-08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1143000</xdr:colOff>
          <xdr:row>23</xdr:row>
          <xdr:rowOff>161925</xdr:rowOff>
        </xdr:from>
        <xdr:to>
          <xdr:col>9</xdr:col>
          <xdr:colOff>0</xdr:colOff>
          <xdr:row>25</xdr:row>
          <xdr:rowOff>0</xdr:rowOff>
        </xdr:to>
        <xdr:sp macro="" textlink="">
          <xdr:nvSpPr>
            <xdr:cNvPr id="17417" name="chkPensionBaseCap" hidden="1">
              <a:extLst>
                <a:ext uri="{63B3BB69-23CF-44E3-9099-C40C66FF867C}">
                  <a14:compatExt spid="_x0000_s17417"/>
                </a:ext>
                <a:ext uri="{FF2B5EF4-FFF2-40B4-BE49-F238E27FC236}">
                  <a16:creationId xmlns:a16="http://schemas.microsoft.com/office/drawing/2014/main" id="{00000000-0008-0000-0800-00000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15</xdr:col>
      <xdr:colOff>188117</xdr:colOff>
      <xdr:row>8</xdr:row>
      <xdr:rowOff>209550</xdr:rowOff>
    </xdr:from>
    <xdr:ext cx="12183177" cy="339539"/>
    <xdr:sp macro="" textlink="">
      <xdr:nvSpPr>
        <xdr:cNvPr id="10" name="TextBox 9">
          <a:extLst>
            <a:ext uri="{FF2B5EF4-FFF2-40B4-BE49-F238E27FC236}">
              <a16:creationId xmlns:a16="http://schemas.microsoft.com/office/drawing/2014/main" id="{00000000-0008-0000-0800-00000A000000}"/>
            </a:ext>
          </a:extLst>
        </xdr:cNvPr>
        <xdr:cNvSpPr txBox="1"/>
      </xdr:nvSpPr>
      <xdr:spPr>
        <a:xfrm>
          <a:off x="10833705" y="1879226"/>
          <a:ext cx="12183177" cy="3395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1" i="1">
              <a:solidFill>
                <a:sysClr val="windowText" lastClr="000000"/>
              </a:solidFill>
            </a:rPr>
            <a:t>Current salary: </a:t>
          </a:r>
          <a:r>
            <a:rPr lang="en-US" sz="1100" i="1">
              <a:solidFill>
                <a:schemeClr val="dk1"/>
              </a:solidFill>
              <a:effectLst/>
              <a:latin typeface="+mn-lt"/>
              <a:ea typeface="+mn-ea"/>
              <a:cs typeface="+mn-cs"/>
            </a:rPr>
            <a:t>Provide an estimate of the current level of gross annual earnings that best represent a member of this age in your member population.</a:t>
          </a:r>
          <a:endParaRPr lang="en-US">
            <a:effectLst/>
          </a:endParaRPr>
        </a:p>
      </xdr:txBody>
    </xdr:sp>
    <xdr:clientData/>
  </xdr:oneCellAnchor>
  <xdr:oneCellAnchor>
    <xdr:from>
      <xdr:col>16</xdr:col>
      <xdr:colOff>0</xdr:colOff>
      <xdr:row>13</xdr:row>
      <xdr:rowOff>0</xdr:rowOff>
    </xdr:from>
    <xdr:ext cx="14039850" cy="3943910"/>
    <xdr:sp macro="" textlink="">
      <xdr:nvSpPr>
        <xdr:cNvPr id="8" name="TextBox 7">
          <a:extLst>
            <a:ext uri="{FF2B5EF4-FFF2-40B4-BE49-F238E27FC236}">
              <a16:creationId xmlns:a16="http://schemas.microsoft.com/office/drawing/2014/main" id="{00000000-0008-0000-0800-000008000000}"/>
            </a:ext>
          </a:extLst>
        </xdr:cNvPr>
        <xdr:cNvSpPr txBox="1"/>
      </xdr:nvSpPr>
      <xdr:spPr>
        <a:xfrm>
          <a:off x="10353675" y="2667000"/>
          <a:ext cx="14039850" cy="39439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en-US" sz="1100" b="1" i="1">
              <a:solidFill>
                <a:sysClr val="windowText" lastClr="000000"/>
              </a:solidFill>
            </a:rPr>
            <a:t>Current pension wealth: </a:t>
          </a:r>
          <a:r>
            <a:rPr lang="en-US" sz="1100" b="0" i="1">
              <a:solidFill>
                <a:sysClr val="windowText" lastClr="000000"/>
              </a:solidFill>
            </a:rPr>
            <a:t>Provide a best estimate of pension wealth that  is representative for this member. </a:t>
          </a:r>
        </a:p>
        <a:p>
          <a:endParaRPr lang="en-US" sz="1100" b="1" i="1">
            <a:solidFill>
              <a:sysClr val="windowText" lastClr="000000"/>
            </a:solidFill>
          </a:endParaRPr>
        </a:p>
        <a:p>
          <a:r>
            <a:rPr lang="en-US" sz="1100" b="1" i="1">
              <a:solidFill>
                <a:sysClr val="windowText" lastClr="000000"/>
              </a:solidFill>
            </a:rPr>
            <a:t>Pensionable income</a:t>
          </a:r>
          <a:r>
            <a:rPr lang="en-US" sz="1100" b="1" i="1" baseline="0">
              <a:solidFill>
                <a:sysClr val="windowText" lastClr="000000"/>
              </a:solidFill>
            </a:rPr>
            <a:t> </a:t>
          </a:r>
          <a:r>
            <a:rPr lang="en-US" sz="1100" i="1" baseline="0">
              <a:solidFill>
                <a:sysClr val="windowText" lastClr="000000"/>
              </a:solidFill>
            </a:rPr>
            <a:t>is the (part of) member wage over which pension contributions are made. Wage can be capped and floored to obtain the pensionable income: contributions are made only of the part of wage between the cap and floor. Specify whether a cap and /or floor applies and state their levels. Cap and floor levels are assumed to grow with price or wage inflation.</a:t>
          </a:r>
        </a:p>
        <a:p>
          <a:endParaRPr lang="en-US" sz="1100" i="1" baseline="0">
            <a:solidFill>
              <a:sysClr val="windowText" lastClr="00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US" sz="1100" b="1" i="1">
              <a:solidFill>
                <a:schemeClr val="dk1"/>
              </a:solidFill>
              <a:effectLst/>
              <a:latin typeface="+mn-lt"/>
              <a:ea typeface="+mn-ea"/>
              <a:cs typeface="+mn-cs"/>
            </a:rPr>
            <a:t>Net hedging effects adverse scenario</a:t>
          </a:r>
          <a:r>
            <a:rPr lang="en-US" sz="1100" b="0" i="1">
              <a:solidFill>
                <a:schemeClr val="dk1"/>
              </a:solidFill>
              <a:effectLst/>
              <a:latin typeface="+mn-lt"/>
              <a:ea typeface="+mn-ea"/>
              <a:cs typeface="+mn-cs"/>
            </a:rPr>
            <a:t> corresponds to the instantaneous impact of the adverse scenario on the value of any derivative instruments to hedge against equity, interest rate, spread and inflation risk. The existing exposures to equity risk (value of equities), interest rate risk (value of fixed income assets, incl. cash), spread risk (value of government and corporate bonds) and inflation risk (value of nominal fixed income assets) are provided as a reference.”</a:t>
          </a:r>
        </a:p>
        <a:p>
          <a:pPr marL="0" marR="0" indent="0" defTabSz="914400" eaLnBrk="1" fontAlgn="auto" latinLnBrk="0" hangingPunct="1">
            <a:lnSpc>
              <a:spcPct val="100000"/>
            </a:lnSpc>
            <a:spcBef>
              <a:spcPts val="0"/>
            </a:spcBef>
            <a:spcAft>
              <a:spcPts val="0"/>
            </a:spcAft>
            <a:buClrTx/>
            <a:buSzTx/>
            <a:buFontTx/>
            <a:buNone/>
            <a:tabLst/>
            <a:defRPr/>
          </a:pPr>
          <a:r>
            <a:rPr lang="en-US" sz="1100" b="1" i="1">
              <a:solidFill>
                <a:schemeClr val="dk1"/>
              </a:solidFill>
              <a:effectLst/>
              <a:latin typeface="+mn-lt"/>
              <a:ea typeface="+mn-ea"/>
              <a:cs typeface="+mn-cs"/>
            </a:rPr>
            <a:t> </a:t>
          </a:r>
        </a:p>
        <a:p>
          <a:pPr marL="0" marR="0" indent="0" defTabSz="914400" eaLnBrk="1" fontAlgn="auto" latinLnBrk="0" hangingPunct="1">
            <a:lnSpc>
              <a:spcPct val="100000"/>
            </a:lnSpc>
            <a:spcBef>
              <a:spcPts val="0"/>
            </a:spcBef>
            <a:spcAft>
              <a:spcPts val="0"/>
            </a:spcAft>
            <a:buClrTx/>
            <a:buSzTx/>
            <a:buFontTx/>
            <a:buNone/>
            <a:tabLst/>
            <a:defRPr/>
          </a:pPr>
          <a:r>
            <a:rPr lang="en-US" sz="1100" b="1" i="1">
              <a:solidFill>
                <a:schemeClr val="dk1"/>
              </a:solidFill>
              <a:effectLst/>
              <a:latin typeface="+mn-lt"/>
              <a:ea typeface="+mn-ea"/>
              <a:cs typeface="+mn-cs"/>
            </a:rPr>
            <a:t>Age-dependent variables: </a:t>
          </a:r>
          <a:r>
            <a:rPr lang="en-US" sz="1100" i="1">
              <a:solidFill>
                <a:schemeClr val="dk1"/>
              </a:solidFill>
              <a:effectLst/>
              <a:latin typeface="+mn-lt"/>
              <a:ea typeface="+mn-ea"/>
              <a:cs typeface="+mn-cs"/>
            </a:rPr>
            <a:t>Contribution rates, Career weight growth and the Asset allocation need to be specified per year to retirement in the table below. </a:t>
          </a:r>
        </a:p>
        <a:p>
          <a:pPr marL="0" marR="0" indent="0" defTabSz="914400" eaLnBrk="1" fontAlgn="auto" latinLnBrk="0" hangingPunct="1">
            <a:lnSpc>
              <a:spcPct val="100000"/>
            </a:lnSpc>
            <a:spcBef>
              <a:spcPts val="0"/>
            </a:spcBef>
            <a:spcAft>
              <a:spcPts val="0"/>
            </a:spcAft>
            <a:buClrTx/>
            <a:buSzTx/>
            <a:buFontTx/>
            <a:buNone/>
            <a:tabLst/>
            <a:defRPr/>
          </a:pPr>
          <a:endParaRPr lang="en-US" sz="1100" i="1">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1" i="1">
              <a:solidFill>
                <a:schemeClr val="dk1"/>
              </a:solidFill>
              <a:effectLst/>
              <a:latin typeface="+mn-lt"/>
              <a:ea typeface="+mn-ea"/>
              <a:cs typeface="+mn-cs"/>
            </a:rPr>
            <a:t>Contribution rates</a:t>
          </a:r>
          <a:r>
            <a:rPr lang="en-US" sz="1100" i="1">
              <a:solidFill>
                <a:schemeClr val="dk1"/>
              </a:solidFill>
              <a:effectLst/>
              <a:latin typeface="+mn-lt"/>
              <a:ea typeface="+mn-ea"/>
              <a:cs typeface="+mn-cs"/>
            </a:rPr>
            <a:t> are specified per year to retirement in tabe below. Contribution rate is defined as the annual pensions savings in the plan a a fraction of pensionable income. Contributions are the</a:t>
          </a:r>
          <a:r>
            <a:rPr lang="en-US" sz="1100" i="1" baseline="0">
              <a:solidFill>
                <a:schemeClr val="dk1"/>
              </a:solidFill>
              <a:effectLst/>
              <a:latin typeface="+mn-lt"/>
              <a:ea typeface="+mn-ea"/>
              <a:cs typeface="+mn-cs"/>
            </a:rPr>
            <a:t> total of contributions made by the member and the employer on the members behalf.</a:t>
          </a:r>
          <a:endParaRPr lang="en-US" sz="1100" i="1">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US" sz="1100" i="1">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b="1" i="1">
              <a:effectLst/>
            </a:rPr>
            <a:t>Career salary growth </a:t>
          </a:r>
          <a:r>
            <a:rPr lang="en-US" b="0" i="1">
              <a:effectLst/>
            </a:rPr>
            <a:t>is</a:t>
          </a:r>
          <a:r>
            <a:rPr lang="en-US" b="0" i="1" baseline="0">
              <a:effectLst/>
            </a:rPr>
            <a:t> d</a:t>
          </a:r>
          <a:r>
            <a:rPr lang="en-US" i="1">
              <a:effectLst/>
            </a:rPr>
            <a:t>efined as the additional annual growth in  salary on top of wage inflation, reflecting career development. Specify per year to retirement in table below. The default value is based on Eurostat earnings growth data. This value can be overriden by specifying a custom value.</a:t>
          </a:r>
        </a:p>
        <a:p>
          <a:pPr marL="0" marR="0" indent="0" defTabSz="914400" eaLnBrk="1" fontAlgn="auto" latinLnBrk="0" hangingPunct="1">
            <a:lnSpc>
              <a:spcPct val="100000"/>
            </a:lnSpc>
            <a:spcBef>
              <a:spcPts val="0"/>
            </a:spcBef>
            <a:spcAft>
              <a:spcPts val="0"/>
            </a:spcAft>
            <a:buClrTx/>
            <a:buSzTx/>
            <a:buFontTx/>
            <a:buNone/>
            <a:tabLst/>
            <a:defRPr/>
          </a:pPr>
          <a:endParaRPr lang="en-US">
            <a:effectLst/>
          </a:endParaRPr>
        </a:p>
        <a:p>
          <a:pPr marL="0" marR="0" indent="0" defTabSz="914400" eaLnBrk="1" fontAlgn="auto" latinLnBrk="0" hangingPunct="1">
            <a:lnSpc>
              <a:spcPct val="100000"/>
            </a:lnSpc>
            <a:spcBef>
              <a:spcPts val="0"/>
            </a:spcBef>
            <a:spcAft>
              <a:spcPts val="0"/>
            </a:spcAft>
            <a:buClrTx/>
            <a:buSzTx/>
            <a:buFontTx/>
            <a:buNone/>
            <a:tabLst/>
            <a:defRPr/>
          </a:pPr>
          <a:r>
            <a:rPr lang="en-US" b="1" i="1">
              <a:effectLst/>
            </a:rPr>
            <a:t>Asset weights</a:t>
          </a:r>
          <a:r>
            <a:rPr lang="en-US" b="0" i="1">
              <a:effectLst/>
            </a:rPr>
            <a:t> are the fractions of pension wealth allocated to the asset classes. Asset weights are specified each year before retirement in the tables below for the Baseline Scenario and Adverse Scenario separately. By default the asset mix for the Adverse Scenario is the same as the asset mix for the Baseline Scenario. The default weights can be overridden in case a dynamic asset allocation strategy is pursued. Please make sure that the weights over all assets sum to 100% for each scenario.</a:t>
          </a:r>
        </a:p>
        <a:p>
          <a:pPr marL="0" marR="0" indent="0" defTabSz="914400" eaLnBrk="1" fontAlgn="auto" latinLnBrk="0" hangingPunct="1">
            <a:lnSpc>
              <a:spcPct val="100000"/>
            </a:lnSpc>
            <a:spcBef>
              <a:spcPts val="0"/>
            </a:spcBef>
            <a:spcAft>
              <a:spcPts val="0"/>
            </a:spcAft>
            <a:buClrTx/>
            <a:buSzTx/>
            <a:buFontTx/>
            <a:buNone/>
            <a:tabLst/>
            <a:defRPr/>
          </a:pPr>
          <a:endParaRPr lang="en-US" b="0" i="1" baseline="0">
            <a:effectLst/>
          </a:endParaRPr>
        </a:p>
        <a:p>
          <a:pPr marL="0" marR="0" indent="0" defTabSz="914400" eaLnBrk="1" fontAlgn="auto" latinLnBrk="0" hangingPunct="1">
            <a:lnSpc>
              <a:spcPct val="100000"/>
            </a:lnSpc>
            <a:spcBef>
              <a:spcPts val="0"/>
            </a:spcBef>
            <a:spcAft>
              <a:spcPts val="0"/>
            </a:spcAft>
            <a:buClrTx/>
            <a:buSzTx/>
            <a:buFontTx/>
            <a:buNone/>
            <a:tabLst/>
            <a:defRPr/>
          </a:pPr>
          <a:r>
            <a:rPr lang="en-US" b="1" i="1" baseline="0">
              <a:effectLst/>
            </a:rPr>
            <a:t>Projected real salary</a:t>
          </a:r>
          <a:r>
            <a:rPr lang="en-US" b="0" i="1" baseline="0">
              <a:effectLst/>
            </a:rPr>
            <a:t> is presented only as a reference. It shows the projected path in salary expressed in real terms, i.e. in local currency value per end 2016. The projection grows with an assumed real wage growth of 1% per year plus the career saary growth.</a:t>
          </a:r>
          <a:endParaRPr lang="en-US" sz="1100" i="1">
            <a:solidFill>
              <a:sysClr val="windowText" lastClr="000000"/>
            </a:solidFill>
          </a:endParaRPr>
        </a:p>
      </xdr:txBody>
    </xdr:sp>
    <xdr:clientData/>
  </xdr:oneCellAnchor>
</xdr:wsDr>
</file>

<file path=xl/drawings/drawing9.xml><?xml version="1.0" encoding="utf-8"?>
<xdr:wsDr xmlns:xdr="http://schemas.openxmlformats.org/drawingml/2006/spreadsheetDrawing" xmlns:a="http://schemas.openxmlformats.org/drawingml/2006/main">
  <xdr:twoCellAnchor editAs="oneCell">
    <xdr:from>
      <xdr:col>3</xdr:col>
      <xdr:colOff>9525</xdr:colOff>
      <xdr:row>1</xdr:row>
      <xdr:rowOff>0</xdr:rowOff>
    </xdr:from>
    <xdr:to>
      <xdr:col>6</xdr:col>
      <xdr:colOff>323330</xdr:colOff>
      <xdr:row>6</xdr:row>
      <xdr:rowOff>130752</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95550" y="190500"/>
          <a:ext cx="1799705" cy="122612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8</xdr:col>
          <xdr:colOff>0</xdr:colOff>
          <xdr:row>23</xdr:row>
          <xdr:rowOff>0</xdr:rowOff>
        </xdr:from>
        <xdr:to>
          <xdr:col>8</xdr:col>
          <xdr:colOff>238125</xdr:colOff>
          <xdr:row>24</xdr:row>
          <xdr:rowOff>9525</xdr:rowOff>
        </xdr:to>
        <xdr:sp macro="" textlink="">
          <xdr:nvSpPr>
            <xdr:cNvPr id="76801" name="chkPensionBaseFloor" hidden="1">
              <a:extLst>
                <a:ext uri="{63B3BB69-23CF-44E3-9099-C40C66FF867C}">
                  <a14:compatExt spid="_x0000_s76801"/>
                </a:ext>
                <a:ext uri="{FF2B5EF4-FFF2-40B4-BE49-F238E27FC236}">
                  <a16:creationId xmlns:a16="http://schemas.microsoft.com/office/drawing/2014/main" id="{00000000-0008-0000-0900-000001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24</xdr:row>
          <xdr:rowOff>0</xdr:rowOff>
        </xdr:from>
        <xdr:to>
          <xdr:col>8</xdr:col>
          <xdr:colOff>266700</xdr:colOff>
          <xdr:row>25</xdr:row>
          <xdr:rowOff>47625</xdr:rowOff>
        </xdr:to>
        <xdr:sp macro="" textlink="">
          <xdr:nvSpPr>
            <xdr:cNvPr id="76802" name="chkPensionBaseCap" hidden="1">
              <a:extLst>
                <a:ext uri="{63B3BB69-23CF-44E3-9099-C40C66FF867C}">
                  <a14:compatExt spid="_x0000_s76802"/>
                </a:ext>
                <a:ext uri="{FF2B5EF4-FFF2-40B4-BE49-F238E27FC236}">
                  <a16:creationId xmlns:a16="http://schemas.microsoft.com/office/drawing/2014/main" id="{00000000-0008-0000-0900-000002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15</xdr:col>
      <xdr:colOff>233361</xdr:colOff>
      <xdr:row>9</xdr:row>
      <xdr:rowOff>11909</xdr:rowOff>
    </xdr:from>
    <xdr:ext cx="12825414" cy="302416"/>
    <xdr:sp macro="" textlink="">
      <xdr:nvSpPr>
        <xdr:cNvPr id="13" name="TextBox 12">
          <a:extLst>
            <a:ext uri="{FF2B5EF4-FFF2-40B4-BE49-F238E27FC236}">
              <a16:creationId xmlns:a16="http://schemas.microsoft.com/office/drawing/2014/main" id="{00000000-0008-0000-0900-00000D000000}"/>
            </a:ext>
          </a:extLst>
        </xdr:cNvPr>
        <xdr:cNvSpPr txBox="1"/>
      </xdr:nvSpPr>
      <xdr:spPr>
        <a:xfrm>
          <a:off x="10806111" y="1916909"/>
          <a:ext cx="12825414" cy="3024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1" i="1">
              <a:solidFill>
                <a:sysClr val="windowText" lastClr="000000"/>
              </a:solidFill>
            </a:rPr>
            <a:t>Current salary: </a:t>
          </a:r>
          <a:r>
            <a:rPr lang="en-US" sz="1100" i="1">
              <a:solidFill>
                <a:schemeClr val="dk1"/>
              </a:solidFill>
              <a:effectLst/>
              <a:latin typeface="+mn-lt"/>
              <a:ea typeface="+mn-ea"/>
              <a:cs typeface="+mn-cs"/>
            </a:rPr>
            <a:t>Provide an estimate of the current level of gross annual earnings that best represent a member of this age in your member population.</a:t>
          </a:r>
          <a:endParaRPr lang="en-US">
            <a:effectLst/>
          </a:endParaRPr>
        </a:p>
        <a:p>
          <a:endParaRPr lang="en-US" sz="1100" i="1">
            <a:solidFill>
              <a:sysClr val="windowText" lastClr="000000"/>
            </a:solidFill>
          </a:endParaRPr>
        </a:p>
      </xdr:txBody>
    </xdr:sp>
    <xdr:clientData/>
  </xdr:oneCellAnchor>
  <xdr:oneCellAnchor>
    <xdr:from>
      <xdr:col>16</xdr:col>
      <xdr:colOff>0</xdr:colOff>
      <xdr:row>13</xdr:row>
      <xdr:rowOff>0</xdr:rowOff>
    </xdr:from>
    <xdr:ext cx="14039850" cy="3943910"/>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0372725" y="2667000"/>
          <a:ext cx="14039850" cy="39439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en-US" sz="1100" b="1" i="1">
              <a:solidFill>
                <a:sysClr val="windowText" lastClr="000000"/>
              </a:solidFill>
            </a:rPr>
            <a:t>Current pension wealth: </a:t>
          </a:r>
          <a:r>
            <a:rPr lang="en-US" sz="1100" b="0" i="1">
              <a:solidFill>
                <a:sysClr val="windowText" lastClr="000000"/>
              </a:solidFill>
            </a:rPr>
            <a:t>Provide a best estimate of pension wealth that  is representative for this member. </a:t>
          </a:r>
        </a:p>
        <a:p>
          <a:endParaRPr lang="en-US" sz="1100" b="1" i="1">
            <a:solidFill>
              <a:sysClr val="windowText" lastClr="000000"/>
            </a:solidFill>
          </a:endParaRPr>
        </a:p>
        <a:p>
          <a:r>
            <a:rPr lang="en-US" sz="1100" b="1" i="1">
              <a:solidFill>
                <a:sysClr val="windowText" lastClr="000000"/>
              </a:solidFill>
            </a:rPr>
            <a:t>Pensionable income</a:t>
          </a:r>
          <a:r>
            <a:rPr lang="en-US" sz="1100" b="1" i="1" baseline="0">
              <a:solidFill>
                <a:sysClr val="windowText" lastClr="000000"/>
              </a:solidFill>
            </a:rPr>
            <a:t> </a:t>
          </a:r>
          <a:r>
            <a:rPr lang="en-US" sz="1100" i="1" baseline="0">
              <a:solidFill>
                <a:sysClr val="windowText" lastClr="000000"/>
              </a:solidFill>
            </a:rPr>
            <a:t>is the (part of) member wage over which pension contributions are made. Wage can be capped and floored to obtain the pensionable income: contributions are made only of the part of wage between the cap and floor. Specify whether a cap and /or floor applies and state their levels. Cap and floor levels are assumed to grow with price or wage inflation.</a:t>
          </a:r>
        </a:p>
        <a:p>
          <a:endParaRPr lang="en-US" sz="1100" i="1" baseline="0">
            <a:solidFill>
              <a:sysClr val="windowText" lastClr="00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US" sz="1100" b="1" i="1">
              <a:solidFill>
                <a:schemeClr val="dk1"/>
              </a:solidFill>
              <a:effectLst/>
              <a:latin typeface="+mn-lt"/>
              <a:ea typeface="+mn-ea"/>
              <a:cs typeface="+mn-cs"/>
            </a:rPr>
            <a:t>Net hedging effects adverse scenario</a:t>
          </a:r>
          <a:r>
            <a:rPr lang="en-US" sz="1100" b="0" i="1">
              <a:solidFill>
                <a:schemeClr val="dk1"/>
              </a:solidFill>
              <a:effectLst/>
              <a:latin typeface="+mn-lt"/>
              <a:ea typeface="+mn-ea"/>
              <a:cs typeface="+mn-cs"/>
            </a:rPr>
            <a:t> corresponds to the instantaneous impact of the adverse scenario on the value of any derivative instruments to hedge against equity, interest rate, spread and inflation risk. The existing exposures to equity risk (value of equities), interest rate risk (value of fixed income assets, incl. cash), spread risk (value of government and corporate bonds) and inflation risk (value of nominal fixed income assets) are provided as a reference.”</a:t>
          </a:r>
        </a:p>
        <a:p>
          <a:pPr marL="0" marR="0" indent="0" defTabSz="914400" eaLnBrk="1" fontAlgn="auto" latinLnBrk="0" hangingPunct="1">
            <a:lnSpc>
              <a:spcPct val="100000"/>
            </a:lnSpc>
            <a:spcBef>
              <a:spcPts val="0"/>
            </a:spcBef>
            <a:spcAft>
              <a:spcPts val="0"/>
            </a:spcAft>
            <a:buClrTx/>
            <a:buSzTx/>
            <a:buFontTx/>
            <a:buNone/>
            <a:tabLst/>
            <a:defRPr/>
          </a:pPr>
          <a:r>
            <a:rPr lang="en-US" sz="1100" b="1" i="1">
              <a:solidFill>
                <a:schemeClr val="dk1"/>
              </a:solidFill>
              <a:effectLst/>
              <a:latin typeface="+mn-lt"/>
              <a:ea typeface="+mn-ea"/>
              <a:cs typeface="+mn-cs"/>
            </a:rPr>
            <a:t> </a:t>
          </a:r>
        </a:p>
        <a:p>
          <a:pPr marL="0" marR="0" indent="0" defTabSz="914400" eaLnBrk="1" fontAlgn="auto" latinLnBrk="0" hangingPunct="1">
            <a:lnSpc>
              <a:spcPct val="100000"/>
            </a:lnSpc>
            <a:spcBef>
              <a:spcPts val="0"/>
            </a:spcBef>
            <a:spcAft>
              <a:spcPts val="0"/>
            </a:spcAft>
            <a:buClrTx/>
            <a:buSzTx/>
            <a:buFontTx/>
            <a:buNone/>
            <a:tabLst/>
            <a:defRPr/>
          </a:pPr>
          <a:r>
            <a:rPr lang="en-US" sz="1100" b="1" i="1">
              <a:solidFill>
                <a:schemeClr val="dk1"/>
              </a:solidFill>
              <a:effectLst/>
              <a:latin typeface="+mn-lt"/>
              <a:ea typeface="+mn-ea"/>
              <a:cs typeface="+mn-cs"/>
            </a:rPr>
            <a:t>Age-dependent variables: </a:t>
          </a:r>
          <a:r>
            <a:rPr lang="en-US" sz="1100" i="1">
              <a:solidFill>
                <a:schemeClr val="dk1"/>
              </a:solidFill>
              <a:effectLst/>
              <a:latin typeface="+mn-lt"/>
              <a:ea typeface="+mn-ea"/>
              <a:cs typeface="+mn-cs"/>
            </a:rPr>
            <a:t>Contribution rates, Career weight growth and the Asset allocation need to be specified per year to retirement in the table below. </a:t>
          </a:r>
        </a:p>
        <a:p>
          <a:pPr marL="0" marR="0" indent="0" defTabSz="914400" eaLnBrk="1" fontAlgn="auto" latinLnBrk="0" hangingPunct="1">
            <a:lnSpc>
              <a:spcPct val="100000"/>
            </a:lnSpc>
            <a:spcBef>
              <a:spcPts val="0"/>
            </a:spcBef>
            <a:spcAft>
              <a:spcPts val="0"/>
            </a:spcAft>
            <a:buClrTx/>
            <a:buSzTx/>
            <a:buFontTx/>
            <a:buNone/>
            <a:tabLst/>
            <a:defRPr/>
          </a:pPr>
          <a:endParaRPr lang="en-US" sz="1100" i="1">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1" i="1">
              <a:solidFill>
                <a:schemeClr val="dk1"/>
              </a:solidFill>
              <a:effectLst/>
              <a:latin typeface="+mn-lt"/>
              <a:ea typeface="+mn-ea"/>
              <a:cs typeface="+mn-cs"/>
            </a:rPr>
            <a:t>Contribution rates</a:t>
          </a:r>
          <a:r>
            <a:rPr lang="en-US" sz="1100" i="1">
              <a:solidFill>
                <a:schemeClr val="dk1"/>
              </a:solidFill>
              <a:effectLst/>
              <a:latin typeface="+mn-lt"/>
              <a:ea typeface="+mn-ea"/>
              <a:cs typeface="+mn-cs"/>
            </a:rPr>
            <a:t> are specified per year to retirement in tabe below. Contribution rate is defined as the annual pensions savings in the plan a a fraction of pensionable income. Contributions are the</a:t>
          </a:r>
          <a:r>
            <a:rPr lang="en-US" sz="1100" i="1" baseline="0">
              <a:solidFill>
                <a:schemeClr val="dk1"/>
              </a:solidFill>
              <a:effectLst/>
              <a:latin typeface="+mn-lt"/>
              <a:ea typeface="+mn-ea"/>
              <a:cs typeface="+mn-cs"/>
            </a:rPr>
            <a:t> total of contributions made by the member and the employer on the members behalf.</a:t>
          </a:r>
          <a:endParaRPr lang="en-US" sz="1100" i="1">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US" sz="1100" i="1">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b="1" i="1">
              <a:effectLst/>
            </a:rPr>
            <a:t>Career salary growth </a:t>
          </a:r>
          <a:r>
            <a:rPr lang="en-US" b="0" i="1">
              <a:effectLst/>
            </a:rPr>
            <a:t>is</a:t>
          </a:r>
          <a:r>
            <a:rPr lang="en-US" b="0" i="1" baseline="0">
              <a:effectLst/>
            </a:rPr>
            <a:t> d</a:t>
          </a:r>
          <a:r>
            <a:rPr lang="en-US" i="1">
              <a:effectLst/>
            </a:rPr>
            <a:t>efined as the additional annual growth in  salary on top of wage inflation, reflecting career development. Specify per year to retirement in table below. The default value is based on Eurostat earnings growth data. This value can be overriden by specifying a custom value.</a:t>
          </a:r>
        </a:p>
        <a:p>
          <a:pPr marL="0" marR="0" indent="0" defTabSz="914400" eaLnBrk="1" fontAlgn="auto" latinLnBrk="0" hangingPunct="1">
            <a:lnSpc>
              <a:spcPct val="100000"/>
            </a:lnSpc>
            <a:spcBef>
              <a:spcPts val="0"/>
            </a:spcBef>
            <a:spcAft>
              <a:spcPts val="0"/>
            </a:spcAft>
            <a:buClrTx/>
            <a:buSzTx/>
            <a:buFontTx/>
            <a:buNone/>
            <a:tabLst/>
            <a:defRPr/>
          </a:pPr>
          <a:endParaRPr lang="en-US">
            <a:effectLst/>
          </a:endParaRPr>
        </a:p>
        <a:p>
          <a:pPr marL="0" marR="0" indent="0" defTabSz="914400" eaLnBrk="1" fontAlgn="auto" latinLnBrk="0" hangingPunct="1">
            <a:lnSpc>
              <a:spcPct val="100000"/>
            </a:lnSpc>
            <a:spcBef>
              <a:spcPts val="0"/>
            </a:spcBef>
            <a:spcAft>
              <a:spcPts val="0"/>
            </a:spcAft>
            <a:buClrTx/>
            <a:buSzTx/>
            <a:buFontTx/>
            <a:buNone/>
            <a:tabLst/>
            <a:defRPr/>
          </a:pPr>
          <a:r>
            <a:rPr lang="en-US" b="1" i="1">
              <a:effectLst/>
            </a:rPr>
            <a:t>Asset weights</a:t>
          </a:r>
          <a:r>
            <a:rPr lang="en-US" b="0" i="1">
              <a:effectLst/>
            </a:rPr>
            <a:t> are the fractions of pension wealth allocated to the asset classes. Asset weights are specified each year before retirement in the tables below for the Baseline Scenario and Adverse Scenario separately. By default the asset mix for the Adverse Scenario is the same as the asset mix for the Baseline Scenario. The default weights can be overridden in case a dynamic asset allocation strategy is pursued. Please make sure that the weights over all assets sum to 100% for each scenario.</a:t>
          </a:r>
        </a:p>
        <a:p>
          <a:pPr marL="0" marR="0" indent="0" defTabSz="914400" eaLnBrk="1" fontAlgn="auto" latinLnBrk="0" hangingPunct="1">
            <a:lnSpc>
              <a:spcPct val="100000"/>
            </a:lnSpc>
            <a:spcBef>
              <a:spcPts val="0"/>
            </a:spcBef>
            <a:spcAft>
              <a:spcPts val="0"/>
            </a:spcAft>
            <a:buClrTx/>
            <a:buSzTx/>
            <a:buFontTx/>
            <a:buNone/>
            <a:tabLst/>
            <a:defRPr/>
          </a:pPr>
          <a:endParaRPr lang="en-US" b="0" i="1" baseline="0">
            <a:effectLst/>
          </a:endParaRPr>
        </a:p>
        <a:p>
          <a:pPr marL="0" marR="0" indent="0" defTabSz="914400" eaLnBrk="1" fontAlgn="auto" latinLnBrk="0" hangingPunct="1">
            <a:lnSpc>
              <a:spcPct val="100000"/>
            </a:lnSpc>
            <a:spcBef>
              <a:spcPts val="0"/>
            </a:spcBef>
            <a:spcAft>
              <a:spcPts val="0"/>
            </a:spcAft>
            <a:buClrTx/>
            <a:buSzTx/>
            <a:buFontTx/>
            <a:buNone/>
            <a:tabLst/>
            <a:defRPr/>
          </a:pPr>
          <a:r>
            <a:rPr lang="en-US" b="1" i="1" baseline="0">
              <a:effectLst/>
            </a:rPr>
            <a:t>Projected real salary</a:t>
          </a:r>
          <a:r>
            <a:rPr lang="en-US" b="0" i="1" baseline="0">
              <a:effectLst/>
            </a:rPr>
            <a:t> is presented only as a reference. It shows the projected path in salary expressed in real terms, i.e. in local currency value per end 2016. The projection grows with an assumed real wage growth of 1% per year plus the career saary growth.</a:t>
          </a:r>
          <a:endParaRPr lang="en-US" sz="1100" i="1">
            <a:solidFill>
              <a:sysClr val="windowText" lastClr="000000"/>
            </a:solidFill>
          </a:endParaRPr>
        </a:p>
      </xdr:txBody>
    </xdr:sp>
    <xdr:clientData/>
  </xdr:oneCellAnchor>
</xdr:wsDr>
</file>

<file path=xl/tables/table1.xml><?xml version="1.0" encoding="utf-8"?>
<table xmlns="http://schemas.openxmlformats.org/spreadsheetml/2006/main" id="3" name="tblSheets" displayName="tblSheets" ref="D5:F41" totalsRowShown="0" headerRowCellStyle="CTableHeader" dataCellStyle="COutputMacro">
  <autoFilter ref="D5:F41"/>
  <tableColumns count="3">
    <tableColumn id="1" name="Sheetnames" dataCellStyle="COutputMacro"/>
    <tableColumn id="2" name="SheetType" dataCellStyle="COutputMacro"/>
    <tableColumn id="3" name="Version" dataCellStyle="COutputMacro"/>
  </tableColumns>
  <tableStyleInfo name="TableStyleMedium2" showFirstColumn="0" showLastColumn="0" showRowStripes="1" showColumnStripes="0"/>
</table>
</file>

<file path=xl/tables/table10.xml><?xml version="1.0" encoding="utf-8"?>
<table xmlns="http://schemas.openxmlformats.org/spreadsheetml/2006/main" id="15" name="tblAssetTypeDefinitions" displayName="tblAssetTypeDefinitions" ref="Q5:AJ25" totalsRowShown="0" headerRowDxfId="193" dataDxfId="192" tableBorderDxfId="191" headerRowCellStyle="CTableHeader" dataCellStyle="CInput">
  <autoFilter ref="Q5:AJ25"/>
  <tableColumns count="20">
    <tableColumn id="1" name="Asset class"/>
    <tableColumn id="2" name="Asset category" dataDxfId="190" dataCellStyle="CInput"/>
    <tableColumn id="3" name="Beta Equities EU" dataDxfId="189" dataCellStyle="CInput"/>
    <tableColumn id="4" name="Beta Equities US" dataDxfId="188" dataCellStyle="CInput"/>
    <tableColumn id="18" name="Beta Equities Other Developed Markets" dataDxfId="187" dataCellStyle="CInput"/>
    <tableColumn id="5" name="Beta Equities Emerging Markets" dataDxfId="186" dataCellStyle="CInput"/>
    <tableColumn id="6" name="Beta Commodities" dataDxfId="185" dataCellStyle="CInput"/>
    <tableColumn id="7" name="Beta Private Equity" dataDxfId="184" dataCellStyle="CInput"/>
    <tableColumn id="8" name="Beta Hedge Funds" dataDxfId="183" dataCellStyle="CInput"/>
    <tableColumn id="9" name="Beta Real Estate EU" dataDxfId="182" dataCellStyle="CInput"/>
    <tableColumn id="19" name="Beta Real Estate US" dataDxfId="181" dataCellStyle="CInput"/>
    <tableColumn id="10" name="Beta Real Estate Other Developed Markets" dataDxfId="180" dataCellStyle="CInput"/>
    <tableColumn id="21" name="Real Estate Commercial EU (non-leveraged)" dataDxfId="179" dataCellStyle="CInput"/>
    <tableColumn id="20" name="Real Estate Residential EU (non-leveraged)" dataDxfId="178" dataCellStyle="CInput"/>
    <tableColumn id="11" name="Beta Bond" dataDxfId="177" dataCellStyle="CInput"/>
    <tableColumn id="12" name="Duration" dataDxfId="176" dataCellStyle="CInput"/>
    <tableColumn id="13" name="Inflation linked" dataDxfId="175" dataCellStyle="CInput"/>
    <tableColumn id="14" name="Spread type" dataDxfId="174" dataCellStyle="CInput"/>
    <tableColumn id="15" name="Currency" dataDxfId="173" dataCellStyle="CInput"/>
    <tableColumn id="16" name="InvestmentCost" dataDxfId="172" dataCellStyle="CInput"/>
  </tableColumns>
  <tableStyleInfo name="TableStyleMedium2" showFirstColumn="0" showLastColumn="0" showRowStripes="1" showColumnStripes="0"/>
</table>
</file>

<file path=xl/tables/table11.xml><?xml version="1.0" encoding="utf-8"?>
<table xmlns="http://schemas.openxmlformats.org/spreadsheetml/2006/main" id="12" name="tblMapSimulations" displayName="tblMapSimulations" ref="AU5:AX8" totalsRowShown="0" headerRowDxfId="171" dataDxfId="170" tableBorderDxfId="169" headerRowCellStyle="CTableHeader" dataCellStyle="COutputVal">
  <autoFilter ref="AU5:AX8"/>
  <tableColumns count="4">
    <tableColumn id="1" name="ScenarioName" dataDxfId="168" dataCellStyle="COutputVal"/>
    <tableColumn id="2" name="4.1. Member 35y YTR" dataDxfId="167" dataCellStyle="COutputVal"/>
    <tableColumn id="3" name="4.2. Member 20y YTR" dataDxfId="166" dataCellStyle="COutputVal"/>
    <tableColumn id="4" name="4.3. Member 5y YTR" dataDxfId="165" dataCellStyle="COutputVal"/>
  </tableColumns>
  <tableStyleInfo name="TableStyleMedium2" showFirstColumn="0" showLastColumn="0" showRowStripes="1" showColumnStripes="0"/>
</table>
</file>

<file path=xl/tables/table12.xml><?xml version="1.0" encoding="utf-8"?>
<table xmlns="http://schemas.openxmlformats.org/spreadsheetml/2006/main" id="10" name="tblUserformCopy" displayName="tblUserformCopy" ref="F26:G32" totalsRowShown="0" tableBorderDxfId="164" headerRowCellStyle="CTableHeader">
  <autoFilter ref="F26:G32"/>
  <tableColumns count="2">
    <tableColumn id="1" name="Sheet"/>
    <tableColumn id="2" name="Reference"/>
  </tableColumns>
  <tableStyleInfo name="TableStyleMedium2" showFirstColumn="0" showLastColumn="0" showRowStripes="1" showColumnStripes="0"/>
</table>
</file>

<file path=xl/tables/table13.xml><?xml version="1.0" encoding="utf-8"?>
<table xmlns="http://schemas.openxmlformats.org/spreadsheetml/2006/main" id="1" name="tblAssetMenuSpecs" displayName="tblAssetMenuSpecs" ref="Z30:BT31" totalsRowShown="0" headerRowDxfId="157" dataDxfId="156" tableBorderDxfId="155" headerRowCellStyle="CTableHeader" dataCellStyle="COutputVal">
  <autoFilter ref="Z30:BT31"/>
  <tableColumns count="47">
    <tableColumn id="1" name="Asset number" dataDxfId="154" dataCellStyle="CInput">
      <calculatedColumnFormula>ROW()-ROW(tblAssetMenuSpecs[[#Headers],[Asset number]])</calculatedColumnFormula>
    </tableColumn>
    <tableColumn id="2" name="Asset name" dataDxfId="153" dataCellStyle="CInput"/>
    <tableColumn id="3" name="Description" dataDxfId="152" dataCellStyle="CInput"/>
    <tableColumn id="4" name="Asset class" dataDxfId="151" dataCellStyle="CInput"/>
    <tableColumn id="13" name="Asset category" dataDxfId="150" dataCellStyle="COutputVal">
      <calculatedColumnFormula>INDEX(tblAssetTypeDefinitions[Asset category],MATCH(tblAssetMenuSpecs[[#This Row],[Asset class]],tblAssetTypeDefinitions[Asset class],0))</calculatedColumnFormula>
    </tableColumn>
    <tableColumn id="16" name="Beta Equity EU" dataDxfId="149" dataCellStyle="COutputVal">
      <calculatedColumnFormula>INDEX(tblAssetTypeDefinitions[Beta Equities EU],MATCH(tblAssetMenuSpecs[[#This Row],[Asset class]],tblAssetTypeDefinitions[Asset class],0))</calculatedColumnFormula>
    </tableColumn>
    <tableColumn id="17" name="Beta Equity US" dataDxfId="148" dataCellStyle="COutputVal">
      <calculatedColumnFormula>INDEX(tblAssetTypeDefinitions[Beta Equities US],MATCH(tblAssetMenuSpecs[[#This Row],[Asset class]],tblAssetTypeDefinitions[Asset class],0))</calculatedColumnFormula>
    </tableColumn>
    <tableColumn id="25" name="Beta Equities Other Developed Markets" dataDxfId="147" dataCellStyle="COutputVal">
      <calculatedColumnFormula>INDEX(tblAssetTypeDefinitions[Beta Equities Other Developed Markets],MATCH(tblAssetMenuSpecs[[#This Row],[Asset class]],tblAssetTypeDefinitions[Asset class],0))</calculatedColumnFormula>
    </tableColumn>
    <tableColumn id="24" name="Beta Equities Emerging Markets" dataDxfId="146" dataCellStyle="COutputVal">
      <calculatedColumnFormula>INDEX(tblAssetTypeDefinitions[Beta Equities Emerging Markets],MATCH(tblAssetMenuSpecs[[#This Row],[Asset class]],tblAssetTypeDefinitions[Asset class],0))</calculatedColumnFormula>
    </tableColumn>
    <tableColumn id="19" name="Beta Commodities" dataDxfId="145" dataCellStyle="COutputVal">
      <calculatedColumnFormula>INDEX(tblAssetTypeDefinitions[Beta Commodities],MATCH(tblAssetMenuSpecs[[#This Row],[Asset class]],tblAssetTypeDefinitions[Asset class],0))</calculatedColumnFormula>
    </tableColumn>
    <tableColumn id="20" name="Beta Private Equity" dataDxfId="144" dataCellStyle="COutputVal">
      <calculatedColumnFormula>INDEX(tblAssetTypeDefinitions[Beta Private Equity],MATCH(tblAssetMenuSpecs[[#This Row],[Asset class]],tblAssetTypeDefinitions[Asset class],0))</calculatedColumnFormula>
    </tableColumn>
    <tableColumn id="21" name="Beta Hedge Funds" dataDxfId="143" dataCellStyle="COutputVal">
      <calculatedColumnFormula>INDEX(tblAssetTypeDefinitions[Beta Hedge Funds],MATCH(tblAssetMenuSpecs[[#This Row],[Asset class]],tblAssetTypeDefinitions[Asset class],0))</calculatedColumnFormula>
    </tableColumn>
    <tableColumn id="22" name="Beta Real Estate EU" dataDxfId="142" dataCellStyle="COutputVal">
      <calculatedColumnFormula>INDEX(tblAssetTypeDefinitions[Beta Real Estate EU],MATCH(tblAssetMenuSpecs[[#This Row],[Asset class]],tblAssetTypeDefinitions[Asset class],0))</calculatedColumnFormula>
    </tableColumn>
    <tableColumn id="26" name="Beta Real Estate US" dataDxfId="141" dataCellStyle="COutputVal">
      <calculatedColumnFormula>INDEX(tblAssetTypeDefinitions[Beta Real Estate US],MATCH(tblAssetMenuSpecs[[#This Row],[Asset class]],tblAssetTypeDefinitions[Asset class],0))</calculatedColumnFormula>
    </tableColumn>
    <tableColumn id="23" name="Beta Real Estate Other Developed Markets" dataDxfId="140" dataCellStyle="COutputVal">
      <calculatedColumnFormula>INDEX(tblAssetTypeDefinitions[Beta Real Estate Other Developed Markets],MATCH(tblAssetMenuSpecs[[#This Row],[Asset class]],tblAssetTypeDefinitions[Asset class],0))</calculatedColumnFormula>
    </tableColumn>
    <tableColumn id="44" name="Beta Real Estate Commercial EU (non-leveraged)" dataDxfId="139" dataCellStyle="COutputVal">
      <calculatedColumnFormula>INDEX(tblAssetTypeDefinitions[Real Estate Commercial EU (non-leveraged)],MATCH(tblAssetMenuSpecs[[#This Row],[Asset class]],tblAssetTypeDefinitions[Asset class],0))</calculatedColumnFormula>
    </tableColumn>
    <tableColumn id="43" name="Beta Real Estate Residential EU (non-leveraged)" dataDxfId="138" dataCellStyle="COutputVal">
      <calculatedColumnFormula>INDEX(tblAssetTypeDefinitions[Real Estate Residential EU (non-leveraged)],MATCH(tblAssetMenuSpecs[[#This Row],[Asset class]],tblAssetTypeDefinitions[Asset class],0))</calculatedColumnFormula>
    </tableColumn>
    <tableColumn id="7" name="Beta Bond" dataDxfId="137" dataCellStyle="COutputVal">
      <calculatedColumnFormula>INDEX(tblAssetTypeDefinitions[Beta Bond],MATCH(tblAssetMenuSpecs[[#This Row],[Asset class]],tblAssetTypeDefinitions[Asset class],0))</calculatedColumnFormula>
    </tableColumn>
    <tableColumn id="8" name="Duration" dataDxfId="136" dataCellStyle="CInput"/>
    <tableColumn id="9" name="Inflation linked" dataDxfId="135" dataCellStyle="CInput"/>
    <tableColumn id="10" name="Spread type" dataDxfId="134" dataCellStyle="CInput"/>
    <tableColumn id="11" name="Currency" dataDxfId="133" dataCellStyle="CInput"/>
    <tableColumn id="12" name="InvestmentCost" dataDxfId="132" dataCellStyle="CInput"/>
    <tableColumn id="5" name="IsEquities" dataDxfId="131" dataCellStyle="COutputVal">
      <calculatedColumnFormula>(tblAssetMenuSpecs[[#This Row],[Asset category]]="Equities")</calculatedColumnFormula>
    </tableColumn>
    <tableColumn id="6" name="IsRealEstate" dataDxfId="130" dataCellStyle="COutputVal">
      <calculatedColumnFormula>(tblAssetMenuSpecs[[#This Row],[Asset category]]="Real Estate")</calculatedColumnFormula>
    </tableColumn>
    <tableColumn id="14" name="IsAlternatives" dataDxfId="129" dataCellStyle="COutputVal">
      <calculatedColumnFormula>(tblAssetMenuSpecs[[#This Row],[Asset category]]="Alternatives")</calculatedColumnFormula>
    </tableColumn>
    <tableColumn id="15" name="IsFixedIncome" dataDxfId="128" dataCellStyle="COutputVal">
      <calculatedColumnFormula>(tblAssetMenuSpecs[[#This Row],[Asset category]] = "Fixed income")</calculatedColumnFormula>
    </tableColumn>
    <tableColumn id="27" name="Is Equities EU" dataDxfId="127" dataCellStyle="COutputVal">
      <calculatedColumnFormula>(tblAssetMenuSpecs[[#This Row],[Asset class]] = RIGHT(tblAssetMenuSpecs[[#Headers],[Is Equities EU]],LEN(tblAssetMenuSpecs[[#Headers],[Is Equities EU]])-3))</calculatedColumnFormula>
    </tableColumn>
    <tableColumn id="28" name="Is Equities US" dataDxfId="126" dataCellStyle="COutputVal">
      <calculatedColumnFormula>(tblAssetMenuSpecs[[#This Row],[Asset class]] = RIGHT(tblAssetMenuSpecs[[#Headers],[Is Equities US]],LEN(tblAssetMenuSpecs[[#Headers],[Is Equities US]])-3))</calculatedColumnFormula>
    </tableColumn>
    <tableColumn id="29" name="Is Equities Other Developed Markets" dataDxfId="125" dataCellStyle="COutputVal">
      <calculatedColumnFormula>(tblAssetMenuSpecs[[#This Row],[Asset class]] = RIGHT(tblAssetMenuSpecs[[#Headers],[Is Equities Other Developed Markets]],LEN(tblAssetMenuSpecs[[#Headers],[Is Equities Other Developed Markets]])-3))</calculatedColumnFormula>
    </tableColumn>
    <tableColumn id="30" name="Is Equities Emerging Markets" dataDxfId="124" dataCellStyle="COutputVal">
      <calculatedColumnFormula>(tblAssetMenuSpecs[[#This Row],[Asset class]] = RIGHT(tblAssetMenuSpecs[[#Headers],[Is Equities Emerging Markets]],LEN(tblAssetMenuSpecs[[#Headers],[Is Equities Emerging Markets]])-3))</calculatedColumnFormula>
    </tableColumn>
    <tableColumn id="31" name="Is Commodities" dataDxfId="123" dataCellStyle="COutputVal">
      <calculatedColumnFormula>(tblAssetMenuSpecs[[#This Row],[Asset class]] = RIGHT(tblAssetMenuSpecs[[#Headers],[Is Commodities]],LEN(tblAssetMenuSpecs[[#Headers],[Is Commodities]])-3))</calculatedColumnFormula>
    </tableColumn>
    <tableColumn id="32" name="Is Private Equity" dataDxfId="122" dataCellStyle="COutputVal">
      <calculatedColumnFormula>(tblAssetMenuSpecs[[#This Row],[Asset class]] = RIGHT(tblAssetMenuSpecs[[#Headers],[Is Private Equity]],LEN(tblAssetMenuSpecs[[#Headers],[Is Private Equity]])-3))</calculatedColumnFormula>
    </tableColumn>
    <tableColumn id="33" name="Is Hedge Funds" dataDxfId="121" dataCellStyle="COutputVal">
      <calculatedColumnFormula>(tblAssetMenuSpecs[[#This Row],[Asset class]] = RIGHT(tblAssetMenuSpecs[[#Headers],[Is Hedge Funds]],LEN(tblAssetMenuSpecs[[#Headers],[Is Hedge Funds]])-3))</calculatedColumnFormula>
    </tableColumn>
    <tableColumn id="34" name="Is Real Estate EU" dataDxfId="120" dataCellStyle="COutputVal">
      <calculatedColumnFormula>(tblAssetMenuSpecs[[#This Row],[Asset class]] = RIGHT(tblAssetMenuSpecs[[#Headers],[Is Real Estate EU]],LEN(tblAssetMenuSpecs[[#Headers],[Is Real Estate EU]])-3))</calculatedColumnFormula>
    </tableColumn>
    <tableColumn id="35" name="Is Real Estate US" dataDxfId="119" dataCellStyle="COutputVal">
      <calculatedColumnFormula>(tblAssetMenuSpecs[[#This Row],[Asset class]] = RIGHT(tblAssetMenuSpecs[[#Headers],[Is Real Estate US]],LEN(tblAssetMenuSpecs[[#Headers],[Is Real Estate US]])-3))</calculatedColumnFormula>
    </tableColumn>
    <tableColumn id="48" name="Is Real Estate Other Developed Markets" dataDxfId="118" dataCellStyle="COutputVal">
      <calculatedColumnFormula>(tblAssetMenuSpecs[[#This Row],[Asset class]] = RIGHT(tblAssetMenuSpecs[[#Headers],[Is Real Estate Other Developed Markets]],LEN(tblAssetMenuSpecs[[#Headers],[Is Real Estate Other Developed Markets]])-3))</calculatedColumnFormula>
    </tableColumn>
    <tableColumn id="47" name="Is Real Estate Commercial EU (non-leveraged)" dataDxfId="117" dataCellStyle="COutputVal">
      <calculatedColumnFormula>(tblAssetMenuSpecs[[#This Row],[Asset class]] = RIGHT(tblAssetMenuSpecs[[#Headers],[Is Real Estate Commercial EU (non-leveraged)]],LEN(tblAssetMenuSpecs[[#Headers],[Is Real Estate Commercial EU (non-leveraged)]])-3))</calculatedColumnFormula>
    </tableColumn>
    <tableColumn id="36" name="Is Real Estate Residential EU (non-leveraged)" dataDxfId="116" dataCellStyle="COutputVal">
      <calculatedColumnFormula>(tblAssetMenuSpecs[[#This Row],[Asset class]] = RIGHT(tblAssetMenuSpecs[[#Headers],[Is Real Estate Residential EU (non-leveraged)]],LEN(tblAssetMenuSpecs[[#Headers],[Is Real Estate Residential EU (non-leveraged)]])-3))</calculatedColumnFormula>
    </tableColumn>
    <tableColumn id="37" name="Is Government Bond EU" dataDxfId="115" dataCellStyle="COutputVal">
      <calculatedColumnFormula>(tblAssetMenuSpecs[[#This Row],[Asset class]] = RIGHT(tblAssetMenuSpecs[[#Headers],[Is Government Bond EU]],LEN(tblAssetMenuSpecs[[#Headers],[Is Government Bond EU]])-3))</calculatedColumnFormula>
    </tableColumn>
    <tableColumn id="38" name="Is Government Bond US" dataDxfId="114" dataCellStyle="COutputVal">
      <calculatedColumnFormula>(tblAssetMenuSpecs[[#This Row],[Asset class]] = RIGHT(tblAssetMenuSpecs[[#Headers],[Is Government Bond US]],LEN(tblAssetMenuSpecs[[#Headers],[Is Government Bond US]])-3))</calculatedColumnFormula>
    </tableColumn>
    <tableColumn id="39" name="Is Government Bond Other Developed Markets" dataDxfId="113" dataCellStyle="COutputVal">
      <calculatedColumnFormula>(tblAssetMenuSpecs[[#This Row],[Asset class]] = RIGHT(tblAssetMenuSpecs[[#Headers],[Is Government Bond Other Developed Markets]],LEN(tblAssetMenuSpecs[[#Headers],[Is Government Bond Other Developed Markets]])-3))</calculatedColumnFormula>
    </tableColumn>
    <tableColumn id="40" name="Is Government Bond Emerging Markets" dataDxfId="112" dataCellStyle="COutputVal">
      <calculatedColumnFormula>(tblAssetMenuSpecs[[#This Row],[Asset class]] = RIGHT(tblAssetMenuSpecs[[#Headers],[Is Government Bond Emerging Markets]],LEN(tblAssetMenuSpecs[[#Headers],[Is Government Bond Emerging Markets]])-3))</calculatedColumnFormula>
    </tableColumn>
    <tableColumn id="41" name="Is Corporate Bond" dataDxfId="111" dataCellStyle="COutputVal">
      <calculatedColumnFormula>(tblAssetMenuSpecs[[#This Row],[Asset class]] = RIGHT(tblAssetMenuSpecs[[#Headers],[Is Corporate Bond]],LEN(tblAssetMenuSpecs[[#Headers],[Is Corporate Bond]])-3))</calculatedColumnFormula>
    </tableColumn>
    <tableColumn id="46" name="Is Corporate Bond Non-Financial" dataDxfId="110" dataCellStyle="COutputVal">
      <calculatedColumnFormula>(tblAssetMenuSpecs[[#This Row],[Asset class]] = RIGHT(tblAssetMenuSpecs[[#Headers],[Is Corporate Bond Non-Financial]],LEN(tblAssetMenuSpecs[[#Headers],[Is Corporate Bond Non-Financial]])-3))</calculatedColumnFormula>
    </tableColumn>
    <tableColumn id="45" name="Is Corporate Bond Financial" dataDxfId="109" dataCellStyle="COutputVal">
      <calculatedColumnFormula>(tblAssetMenuSpecs[[#This Row],[Asset class]] = RIGHT(tblAssetMenuSpecs[[#Headers],[Is Corporate Bond Financial]],LEN(tblAssetMenuSpecs[[#Headers],[Is Corporate Bond Financial]])-3))</calculatedColumnFormula>
    </tableColumn>
    <tableColumn id="42" name="Is Cash and Deposits" dataDxfId="108" dataCellStyle="COutputVal">
      <calculatedColumnFormula>(tblAssetMenuSpecs[[#This Row],[Asset class]] = RIGHT(tblAssetMenuSpecs[[#Headers],[Is Cash and Deposits]],LEN(tblAssetMenuSpecs[[#Headers],[Is Cash and Deposits]])-3))</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id="17" name="tblSimulationOutcomes" displayName="tblSimulationOutcomes" ref="D5:AT14" totalsRowShown="0" headerRowDxfId="47" dataDxfId="45" headerRowBorderDxfId="46" tableBorderDxfId="44" totalsRowBorderDxfId="43" headerRowCellStyle="CTableHeader" dataCellStyle="COutputMacro">
  <autoFilter ref="D5:AT14"/>
  <tableColumns count="43">
    <tableColumn id="1" name="SimulationNo" dataDxfId="42" dataCellStyle="COutputMacro"/>
    <tableColumn id="2" name="SimulationName" dataDxfId="41" dataCellStyle="COutputMacro"/>
    <tableColumn id="3" name="Val::Pension_wealth" dataDxfId="40" dataCellStyle="COutputMacro"/>
    <tableColumn id="4" name="Val::Final_wage" dataDxfId="39" dataCellStyle="COutputMacro"/>
    <tableColumn id="27" name="Val::Life_expectancy_from_retirement" dataDxfId="38" dataCellStyle="COutputMacro"/>
    <tableColumn id="5" name="Val::PensionIncNomDD" dataDxfId="37" dataCellStyle="COutputMacro"/>
    <tableColumn id="6" name="Val::PensionIncNomAnnuity" dataDxfId="36" dataCellStyle="COutputMacro"/>
    <tableColumn id="7" name="Val::PensionIncRealAnnuity" dataDxfId="35" dataCellStyle="COutputMacro"/>
    <tableColumn id="8" name="Val::RepRateNomDD" dataDxfId="34" dataCellStyle="COutputMacro"/>
    <tableColumn id="9" name="Val::RepRateNomAnnuity" dataDxfId="33" dataCellStyle="COutputMacro"/>
    <tableColumn id="10" name="Val::RepRateRealAnnuity" dataDxfId="32" dataCellStyle="COutputMacro"/>
    <tableColumn id="11" name="Contr::Pension_wealth" dataDxfId="31" dataCellStyle="COutputMacro"/>
    <tableColumn id="12" name="Contr::Final_wage" dataDxfId="30" dataCellStyle="COutputMacro"/>
    <tableColumn id="13" name="Contr::PensionIncNomDD" dataDxfId="29" dataCellStyle="COutputMacro"/>
    <tableColumn id="14" name="Contr::PensionIncNomAnnuity" dataDxfId="28" dataCellStyle="COutputMacro"/>
    <tableColumn id="15" name="Contr::PensionIncRealAnnuity" dataDxfId="27" dataCellStyle="COutputMacro"/>
    <tableColumn id="16" name="Contr::RepRateNomDD" dataDxfId="26" dataCellStyle="COutputMacro"/>
    <tableColumn id="17" name="Contr::RepRateNomAnnuity" dataDxfId="25" dataCellStyle="COutputMacro"/>
    <tableColumn id="18" name="Contr::RepRateRealAnnuity" dataDxfId="24" dataCellStyle="COutputMacro"/>
    <tableColumn id="43" name="ContrExit::Pension_wealth" dataDxfId="23" dataCellStyle="COutputMacro"/>
    <tableColumn id="42" name="ContrExit::Final_wage" dataDxfId="22" dataCellStyle="COutputMacro"/>
    <tableColumn id="41" name="ContrExit::PensionIncNomDD" dataDxfId="21" dataCellStyle="COutputMacro"/>
    <tableColumn id="40" name="ContrExit::PensionIncNomAnnuity" dataDxfId="20" dataCellStyle="COutputMacro"/>
    <tableColumn id="39" name="ContrExit::PensionIncRealAnnuity" dataDxfId="19" dataCellStyle="COutputMacro"/>
    <tableColumn id="38" name="ContrExit::RepRateNomDD" dataDxfId="18" dataCellStyle="COutputMacro"/>
    <tableColumn id="37" name="ContrExit::RepRateNomAnnuity" dataDxfId="17" dataCellStyle="COutputMacro"/>
    <tableColumn id="36" name="ContrExit::RepRateRealAnnuity" dataDxfId="16" dataCellStyle="COutputMacro"/>
    <tableColumn id="19" name="PA::Pension_wealth" dataDxfId="15" dataCellStyle="COutputMacro"/>
    <tableColumn id="20" name="PA::Final_wage" dataDxfId="14" dataCellStyle="COutputMacro"/>
    <tableColumn id="21" name="PA::PensionIncNomDD" dataDxfId="13" dataCellStyle="COutputMacro"/>
    <tableColumn id="22" name="PA::PensionIncNomAnnuity" dataDxfId="12" dataCellStyle="COutputMacro"/>
    <tableColumn id="23" name="PA::PensionIncRealAnnuity" dataDxfId="11" dataCellStyle="COutputMacro"/>
    <tableColumn id="24" name="PA::RepRateNomDD" dataDxfId="10" dataCellStyle="COutputMacro"/>
    <tableColumn id="25" name="PA::RepRateNomAnnuity" dataDxfId="9" dataCellStyle="COutputMacro"/>
    <tableColumn id="26" name="PA::RepRateRealAnnuity" dataDxfId="8" dataCellStyle="COutputMacro"/>
    <tableColumn id="47" name="PAExit::Pension_wealth" dataDxfId="7" dataCellStyle="COutputMacro"/>
    <tableColumn id="48" name="PAExit::Final_wage" dataDxfId="6" dataCellStyle="COutputMacro"/>
    <tableColumn id="49" name="PAExit::PensionIncNomDD" dataDxfId="5" dataCellStyle="COutputMacro"/>
    <tableColumn id="50" name="PAExit::PensionIncNomAnnuity" dataDxfId="4" dataCellStyle="COutputMacro"/>
    <tableColumn id="51" name="PAExit::PensionIncRealAnnuity" dataDxfId="3" dataCellStyle="COutputMacro"/>
    <tableColumn id="52" name="PAExit::RepRateNomDD" dataDxfId="2" dataCellStyle="COutputMacro"/>
    <tableColumn id="53" name="PAExit::RepRateNomAnnuity" dataDxfId="1" dataCellStyle="COutputMacro"/>
    <tableColumn id="54" name="PAExit::RepRateRealAnnuity" dataDxfId="0" dataCellStyle="COutputMacro"/>
  </tableColumns>
  <tableStyleInfo name="TableStyleMedium2" showFirstColumn="0" showLastColumn="0" showRowStripes="1" showColumnStripes="0"/>
</table>
</file>

<file path=xl/tables/table2.xml><?xml version="1.0" encoding="utf-8"?>
<table xmlns="http://schemas.openxmlformats.org/spreadsheetml/2006/main" id="4" name="tblMarketScenarioSheets" displayName="tblMarketScenarioSheets" ref="H5:AK7" totalsRowShown="0" headerRowCellStyle="CTableHeader" dataCellStyle="COutputMacro">
  <autoFilter ref="H5:AK7"/>
  <tableColumns count="30">
    <tableColumn id="1" name="Sheetname" dataCellStyle="COutputMacro"/>
    <tableColumn id="14" name="Val::ScenarioName" dataCellStyle="COutputMacro"/>
    <tableColumn id="12" name="Ref::ScenarioName" dataCellStyle="CInput"/>
    <tableColumn id="11" name="Ref::ReturnIndexNames" dataDxfId="254" dataCellStyle="CInput"/>
    <tableColumn id="16" name="Ref::ReturnIndexes" dataDxfId="253" dataCellStyle="CInput"/>
    <tableColumn id="8" name="Ref::Spreads" dataCellStyle="CInput"/>
    <tableColumn id="9" name="Ref::SpreadNames" dataCellStyle="CInput"/>
    <tableColumn id="17" name="Ref::FundamentalSpreads" dataDxfId="252" dataCellStyle="CInput"/>
    <tableColumn id="10" name="Ref::Years" dataCellStyle="CInput"/>
    <tableColumn id="18" name="Ref::EquityPremiumAssumption" dataCellStyle="CInput"/>
    <tableColumn id="20" name="Ref::FXRates" dataDxfId="251" dataCellStyle="CInput"/>
    <tableColumn id="19" name="Ref::FXNames" dataCellStyle="CInput"/>
    <tableColumn id="21" name="Ref::NomCurvesEUR" dataCellStyle="CInput"/>
    <tableColumn id="22" name="Ref::InflationCurvesEUR" dataCellStyle="CInput"/>
    <tableColumn id="23" name="Ref::NomCurvesGBP" dataCellStyle="CInput"/>
    <tableColumn id="24" name="Ref::InflationCurvesGBP" dataCellStyle="CInput"/>
    <tableColumn id="25" name="Ref::NomCurvesUSD" dataCellStyle="CInput"/>
    <tableColumn id="26" name="Ref::InflationCurvesUSD" dataCellStyle="CInput"/>
    <tableColumn id="3" name="Ref::NomCurvesISK" dataDxfId="250" dataCellStyle="CInput"/>
    <tableColumn id="2" name="Ref::InflationCurvesISK" dataDxfId="249" dataCellStyle="CInput"/>
    <tableColumn id="27" name="Ref::NomCurvesCHF" dataCellStyle="CInput"/>
    <tableColumn id="28" name="Ref::InflationCurvesCHF" dataCellStyle="CInput"/>
    <tableColumn id="29" name="Ref::Price_inflation_EUR" dataDxfId="248" dataCellStyle="CInput"/>
    <tableColumn id="30" name="Ref::Wage_inflation_EUR" dataDxfId="247" dataCellStyle="CInput"/>
    <tableColumn id="4" name="Ref::Price_inflation_CHF" dataDxfId="246" dataCellStyle="CInput"/>
    <tableColumn id="5" name="Ref::Wage_inflation_CHF" dataDxfId="245" dataCellStyle="CInput"/>
    <tableColumn id="6" name="Ref::Price_inflation_GBP" dataDxfId="244" dataCellStyle="CInput"/>
    <tableColumn id="7" name="Ref::Wage_inflation_GBP" dataDxfId="243" dataCellStyle="CInput"/>
    <tableColumn id="13" name="Ref::Price_inflation_ISK" dataDxfId="242" dataCellStyle="CInput"/>
    <tableColumn id="15" name="Ref::Wage_inflation_ISK" dataDxfId="241" dataCellStyle="CInput"/>
  </tableColumns>
  <tableStyleInfo name="TableStyleMedium2" showFirstColumn="0" showLastColumn="0" showRowStripes="1" showColumnStripes="0"/>
</table>
</file>

<file path=xl/tables/table3.xml><?xml version="1.0" encoding="utf-8"?>
<table xmlns="http://schemas.openxmlformats.org/spreadsheetml/2006/main" id="5" name="tblMemberInfoSheets" displayName="tblMemberInfoSheets" ref="AM5:BE8" totalsRowShown="0" headerRowCellStyle="CTableHeader" dataCellStyle="COutputMacro">
  <autoFilter ref="AM5:BE8"/>
  <tableColumns count="19">
    <tableColumn id="1" name="Sheetname" dataCellStyle="COutputMacro"/>
    <tableColumn id="11" name="Ref::MemberName" dataCellStyle="CInput"/>
    <tableColumn id="12" name="Ref::CurrentYearsToRetirement" dataDxfId="240" dataCellStyle="CInput"/>
    <tableColumn id="2" name="Ref::Age" dataCellStyle="CInput"/>
    <tableColumn id="3" name="Ref::Pension_age" dataCellStyle="CInput"/>
    <tableColumn id="4" name="Ref::Wage" dataCellStyle="CInput"/>
    <tableColumn id="14" name="Ref::IsFloorPensionBase" dataDxfId="239" dataCellStyle="CInput"/>
    <tableColumn id="13" name="Ref::IsCapPensionBase" dataDxfId="238" dataCellStyle="CInput"/>
    <tableColumn id="5" name="Ref::LevelFloorPensionBase" dataCellStyle="CInput"/>
    <tableColumn id="6" name="Ref::LevelCapPensionBase" dataCellStyle="CInput"/>
    <tableColumn id="8" name="Ref::Inflation_Index_Floor" dataCellStyle="CInput"/>
    <tableColumn id="7" name="Ref::Inflation_Index_Cap" dataCellStyle="CInput"/>
    <tableColumn id="15" name="Ref::Initial_pension_wealth" dataDxfId="237" dataCellStyle="CInput"/>
    <tableColumn id="9" name="Ref::Contribution_rate" dataDxfId="236" dataCellStyle="CInput"/>
    <tableColumn id="10" name="Ref::CareerWageGrowth" dataDxfId="235" dataCellStyle="CInput"/>
    <tableColumn id="16" name="Ref::Total_hedge_effect" dataDxfId="234" dataCellStyle="CInput"/>
    <tableColumn id="17" name="Ref::AssetWeightsBaseline" dataDxfId="233" dataCellStyle="CInput"/>
    <tableColumn id="18" name="Ref::AssetWeightsAdverse" dataDxfId="232" dataCellStyle="CInput"/>
    <tableColumn id="19" name="Ref::Years_to_retirement" dataDxfId="231" dataCellStyle="CInput"/>
  </tableColumns>
  <tableStyleInfo name="TableStyleMedium2" showFirstColumn="0" showLastColumn="0" showRowStripes="1" showColumnStripes="0"/>
</table>
</file>

<file path=xl/tables/table4.xml><?xml version="1.0" encoding="utf-8"?>
<table xmlns="http://schemas.openxmlformats.org/spreadsheetml/2006/main" id="6" name="tblLifeExpSheets" displayName="tblLifeExpSheets" ref="BG5:BO18" totalsRowShown="0" headerRowCellStyle="CTableHeader">
  <tableColumns count="9">
    <tableColumn id="1" name="Sheetname" dataCellStyle="COutputMacro"/>
    <tableColumn id="3" name="Val::LifeExpCountryAbbrev" dataCellStyle="COutputMacro"/>
    <tableColumn id="4" name="Val::LifeExpScenario_name" dataCellStyle="COutputMacro"/>
    <tableColumn id="9" name="Ref::LifeExpCountryAbbrev" dataCellStyle="CInput"/>
    <tableColumn id="10" name="Ref::LifeExpScenario_name" dataCellStyle="CInput"/>
    <tableColumn id="11" name="Ref::LifeExpAges" dataCellStyle="CInput"/>
    <tableColumn id="12" name="Ref::LifeExpYears" dataCellStyle="CInput"/>
    <tableColumn id="13" name="Ref::LifeExp" dataCellStyle="CInput"/>
    <tableColumn id="2" name="Ref::SurvivalCurve" dataCellStyle="CInput"/>
  </tableColumns>
  <tableStyleInfo name="TableStyleMedium2" showFirstColumn="0" showLastColumn="0" showRowStripes="1" showColumnStripes="0"/>
</table>
</file>

<file path=xl/tables/table5.xml><?xml version="1.0" encoding="utf-8"?>
<table xmlns="http://schemas.openxmlformats.org/spreadsheetml/2006/main" id="7" name="tblLifeExpCrossTable" displayName="tblLifeExpCrossTable" ref="BQ5:CD6" totalsRowShown="0" headerRowDxfId="230" dataDxfId="229" tableBorderDxfId="228" headerRowCellStyle="CTableHeader" dataCellStyle="COutputMacro">
  <tableColumns count="14">
    <tableColumn id="1" name="Scenario name" dataDxfId="227" dataCellStyle="COutputMacro"/>
    <tableColumn id="2" name="AT" dataDxfId="226" dataCellStyle="COutputMacro"/>
    <tableColumn id="3" name="UK" dataDxfId="225" dataCellStyle="COutputMacro"/>
    <tableColumn id="4" name="SK" dataDxfId="224" dataCellStyle="COutputMacro"/>
    <tableColumn id="5" name="PT" dataDxfId="223" dataCellStyle="COutputMacro"/>
    <tableColumn id="6" name="NL" dataDxfId="222" dataCellStyle="COutputMacro"/>
    <tableColumn id="7" name="IT" dataDxfId="221" dataCellStyle="COutputMacro"/>
    <tableColumn id="8" name="IE" dataDxfId="220" dataCellStyle="COutputMacro"/>
    <tableColumn id="9" name="ES" dataDxfId="219" dataCellStyle="COutputMacro"/>
    <tableColumn id="10" name="CY" dataDxfId="218" dataCellStyle="COutputMacro"/>
    <tableColumn id="11" name="IS" dataDxfId="217" dataCellStyle="COutputMacro"/>
    <tableColumn id="12" name="GR" dataDxfId="216" dataCellStyle="COutputMacro"/>
    <tableColumn id="13" name="LI" dataDxfId="215" dataCellStyle="COutputMacro"/>
    <tableColumn id="14" name="FR" dataDxfId="214" dataCellStyle="COutputMacro"/>
  </tableColumns>
  <tableStyleInfo name="TableStyleMedium2" showFirstColumn="0" showLastColumn="0" showRowStripes="1" showColumnStripes="0"/>
</table>
</file>

<file path=xl/tables/table6.xml><?xml version="1.0" encoding="utf-8"?>
<table xmlns="http://schemas.openxmlformats.org/spreadsheetml/2006/main" id="2" name="tblCountry" displayName="tblCountry" ref="K5:M18" totalsRowShown="0" headerRowDxfId="213" dataDxfId="212" tableBorderDxfId="211" headerRowCellStyle="CTableHeader" dataCellStyle="CInput">
  <autoFilter ref="K5:M18"/>
  <tableColumns count="3">
    <tableColumn id="1" name="Country" dataDxfId="210" dataCellStyle="CInput"/>
    <tableColumn id="2" name="Abbreviation" dataDxfId="209" dataCellStyle="CInput"/>
    <tableColumn id="3" name="Currency" dataDxfId="208" dataCellStyle="CInput"/>
  </tableColumns>
  <tableStyleInfo name="TableStyleMedium2" showFirstColumn="0" showLastColumn="0" showRowStripes="1" showColumnStripes="0"/>
</table>
</file>

<file path=xl/tables/table7.xml><?xml version="1.0" encoding="utf-8"?>
<table xmlns="http://schemas.openxmlformats.org/spreadsheetml/2006/main" id="9" name="tblCurrencies" displayName="tblCurrencies" ref="I4:I9" totalsRowShown="0" headerRowCellStyle="CTableHeader" dataCellStyle="CInput">
  <autoFilter ref="I4:I9"/>
  <tableColumns count="1">
    <tableColumn id="1" name="Currency" dataCellStyle="CInput"/>
  </tableColumns>
  <tableStyleInfo name="TableStyleMedium2" showFirstColumn="0" showLastColumn="0" showRowStripes="1" showColumnStripes="0"/>
</table>
</file>

<file path=xl/tables/table8.xml><?xml version="1.0" encoding="utf-8"?>
<table xmlns="http://schemas.openxmlformats.org/spreadsheetml/2006/main" id="8" name="tblListSimulationSpecs" displayName="tblListSimulationSpecs" ref="AL5:AS14" totalsRowShown="0" headerRowDxfId="207" dataDxfId="206" tableBorderDxfId="205" headerRowCellStyle="CTableHeader" dataCellStyle="CInput">
  <autoFilter ref="AL5:AS14"/>
  <tableColumns count="8">
    <tableColumn id="22" name="SimulationNo" dataDxfId="204" dataCellStyle="COutputVal">
      <calculatedColumnFormula>ROW()-ROW(tblListSimulationSpecs[[#Headers],[SimulationNo]])</calculatedColumnFormula>
    </tableColumn>
    <tableColumn id="1" name="SimulationName" dataDxfId="203" dataCellStyle="CInput"/>
    <tableColumn id="21" name="Scenario name" dataDxfId="202" dataCellStyle="CInput"/>
    <tableColumn id="2" name="MarketScenario" dataDxfId="201" dataCellStyle="CInput"/>
    <tableColumn id="3" name="Member" dataDxfId="200" dataCellStyle="CInput"/>
    <tableColumn id="4" name="LifeExpScenario" dataDxfId="199" dataCellStyle="CInput"/>
    <tableColumn id="5" name="IncludingCosts" dataDxfId="198" dataCellStyle="CInput"/>
    <tableColumn id="20" name="Benchmark simulation" dataDxfId="197" dataCellStyle="CInput"/>
  </tableColumns>
  <tableStyleInfo name="TableStyleMedium2" showFirstColumn="0" showLastColumn="0" showRowStripes="1" showColumnStripes="0"/>
</table>
</file>

<file path=xl/tables/table9.xml><?xml version="1.0" encoding="utf-8"?>
<table xmlns="http://schemas.openxmlformats.org/spreadsheetml/2006/main" id="14" name="Table14" displayName="Table14" ref="O5:O9" totalsRowShown="0" headerRowDxfId="196" dataDxfId="195" headerRowCellStyle="CTableHeader" dataCellStyle="CInput">
  <autoFilter ref="O5:O9"/>
  <tableColumns count="1">
    <tableColumn id="1" name="Payout options" dataDxfId="194" dataCellStyle="CInput"/>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6.xml"/><Relationship Id="rId13" Type="http://schemas.openxmlformats.org/officeDocument/2006/relationships/ctrlProp" Target="../ctrlProps/ctrlProp31.xml"/><Relationship Id="rId3" Type="http://schemas.openxmlformats.org/officeDocument/2006/relationships/vmlDrawing" Target="../drawings/vmlDrawing8.vml"/><Relationship Id="rId7" Type="http://schemas.openxmlformats.org/officeDocument/2006/relationships/ctrlProp" Target="../ctrlProps/ctrlProp25.xml"/><Relationship Id="rId12" Type="http://schemas.openxmlformats.org/officeDocument/2006/relationships/ctrlProp" Target="../ctrlProps/ctrlProp30.xml"/><Relationship Id="rId2" Type="http://schemas.openxmlformats.org/officeDocument/2006/relationships/drawing" Target="../drawings/drawing11.xml"/><Relationship Id="rId16" Type="http://schemas.openxmlformats.org/officeDocument/2006/relationships/ctrlProp" Target="../ctrlProps/ctrlProp34.xml"/><Relationship Id="rId1" Type="http://schemas.openxmlformats.org/officeDocument/2006/relationships/printerSettings" Target="../printerSettings/printerSettings11.bin"/><Relationship Id="rId6" Type="http://schemas.openxmlformats.org/officeDocument/2006/relationships/ctrlProp" Target="../ctrlProps/ctrlProp24.xml"/><Relationship Id="rId11" Type="http://schemas.openxmlformats.org/officeDocument/2006/relationships/ctrlProp" Target="../ctrlProps/ctrlProp29.xml"/><Relationship Id="rId5" Type="http://schemas.openxmlformats.org/officeDocument/2006/relationships/ctrlProp" Target="../ctrlProps/ctrlProp23.xml"/><Relationship Id="rId15" Type="http://schemas.openxmlformats.org/officeDocument/2006/relationships/ctrlProp" Target="../ctrlProps/ctrlProp33.xml"/><Relationship Id="rId10" Type="http://schemas.openxmlformats.org/officeDocument/2006/relationships/ctrlProp" Target="../ctrlProps/ctrlProp28.xml"/><Relationship Id="rId4" Type="http://schemas.openxmlformats.org/officeDocument/2006/relationships/ctrlProp" Target="../ctrlProps/ctrlProp22.xml"/><Relationship Id="rId9" Type="http://schemas.openxmlformats.org/officeDocument/2006/relationships/ctrlProp" Target="../ctrlProps/ctrlProp27.xml"/><Relationship Id="rId14" Type="http://schemas.openxmlformats.org/officeDocument/2006/relationships/ctrlProp" Target="../ctrlProps/ctrlProp3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openxmlformats.org/officeDocument/2006/relationships/image" Target="../media/image3.emf"/><Relationship Id="rId4" Type="http://schemas.openxmlformats.org/officeDocument/2006/relationships/control" Target="../activeX/activeX1.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vmlDrawing" Target="../drawings/vmlDrawing1.vml"/><Relationship Id="rId7"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1.xml"/><Relationship Id="rId5" Type="http://schemas.openxmlformats.org/officeDocument/2006/relationships/ctrlProp" Target="../ctrlProps/ctrlProp2.xml"/><Relationship Id="rId10" Type="http://schemas.openxmlformats.org/officeDocument/2006/relationships/table" Target="../tables/table5.xml"/><Relationship Id="rId4" Type="http://schemas.openxmlformats.org/officeDocument/2006/relationships/ctrlProp" Target="../ctrlProps/ctrlProp1.xml"/><Relationship Id="rId9" Type="http://schemas.openxmlformats.org/officeDocument/2006/relationships/table" Target="../tables/table4.xml"/></Relationships>
</file>

<file path=xl/worksheets/_rels/sheet3.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3" Type="http://schemas.openxmlformats.org/officeDocument/2006/relationships/vmlDrawing" Target="../drawings/vmlDrawing2.v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11" Type="http://schemas.openxmlformats.org/officeDocument/2006/relationships/table" Target="../tables/table10.xml"/><Relationship Id="rId5" Type="http://schemas.openxmlformats.org/officeDocument/2006/relationships/ctrlProp" Target="../ctrlProps/ctrlProp4.xml"/><Relationship Id="rId10" Type="http://schemas.openxmlformats.org/officeDocument/2006/relationships/table" Target="../tables/table9.xml"/><Relationship Id="rId4" Type="http://schemas.openxmlformats.org/officeDocument/2006/relationships/ctrlProp" Target="../ctrlProps/ctrlProp3.xml"/><Relationship Id="rId9" Type="http://schemas.openxmlformats.org/officeDocument/2006/relationships/table" Target="../tables/table8.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1.xml"/><Relationship Id="rId13" Type="http://schemas.openxmlformats.org/officeDocument/2006/relationships/table" Target="../tables/table13.xml"/><Relationship Id="rId3" Type="http://schemas.openxmlformats.org/officeDocument/2006/relationships/vmlDrawing" Target="../drawings/vmlDrawing4.vml"/><Relationship Id="rId7" Type="http://schemas.openxmlformats.org/officeDocument/2006/relationships/ctrlProp" Target="../ctrlProps/ctrlProp10.xml"/><Relationship Id="rId12" Type="http://schemas.openxmlformats.org/officeDocument/2006/relationships/ctrlProp" Target="../ctrlProps/ctrlProp15.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9.xml"/><Relationship Id="rId11" Type="http://schemas.openxmlformats.org/officeDocument/2006/relationships/ctrlProp" Target="../ctrlProps/ctrlProp14.xml"/><Relationship Id="rId5" Type="http://schemas.openxmlformats.org/officeDocument/2006/relationships/ctrlProp" Target="../ctrlProps/ctrlProp8.xml"/><Relationship Id="rId10" Type="http://schemas.openxmlformats.org/officeDocument/2006/relationships/ctrlProp" Target="../ctrlProps/ctrlProp13.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D25"/>
  <sheetViews>
    <sheetView zoomScaleNormal="100" workbookViewId="0"/>
  </sheetViews>
  <sheetFormatPr defaultColWidth="9.140625" defaultRowHeight="15" x14ac:dyDescent="0.25"/>
  <cols>
    <col min="1" max="1" width="13.140625" style="19" customWidth="1"/>
    <col min="2" max="2" width="22.85546875" style="19" customWidth="1"/>
    <col min="3" max="3" width="9.140625" customWidth="1"/>
    <col min="4" max="4" width="66.42578125" bestFit="1" customWidth="1"/>
    <col min="5" max="8" width="9.140625" customWidth="1"/>
  </cols>
  <sheetData>
    <row r="1" spans="1:4" x14ac:dyDescent="0.25">
      <c r="A1" s="19" t="s">
        <v>71</v>
      </c>
      <c r="B1" s="19" t="s">
        <v>160</v>
      </c>
    </row>
    <row r="2" spans="1:4" x14ac:dyDescent="0.25">
      <c r="A2" s="19" t="s">
        <v>73</v>
      </c>
      <c r="B2" s="19">
        <v>1.1000000000000001</v>
      </c>
    </row>
    <row r="3" spans="1:4" ht="21" x14ac:dyDescent="0.35">
      <c r="A3" s="19" t="s">
        <v>89</v>
      </c>
      <c r="B3" s="19">
        <v>1</v>
      </c>
      <c r="D3" s="40" t="s">
        <v>161</v>
      </c>
    </row>
    <row r="4" spans="1:4" x14ac:dyDescent="0.25">
      <c r="A4" s="19" t="s">
        <v>90</v>
      </c>
      <c r="B4" s="19">
        <v>3</v>
      </c>
    </row>
    <row r="5" spans="1:4" x14ac:dyDescent="0.25">
      <c r="A5" s="19" t="s">
        <v>91</v>
      </c>
      <c r="B5" s="19">
        <v>27</v>
      </c>
      <c r="C5" t="s">
        <v>248</v>
      </c>
      <c r="D5" t="s">
        <v>162</v>
      </c>
    </row>
    <row r="6" spans="1:4" x14ac:dyDescent="0.25">
      <c r="A6" s="19" t="s">
        <v>92</v>
      </c>
      <c r="B6" s="19">
        <v>5</v>
      </c>
      <c r="C6" t="s">
        <v>190</v>
      </c>
      <c r="D6" t="s">
        <v>163</v>
      </c>
    </row>
    <row r="7" spans="1:4" x14ac:dyDescent="0.25">
      <c r="A7" s="19" t="s">
        <v>94</v>
      </c>
      <c r="B7" s="19" t="b">
        <v>0</v>
      </c>
      <c r="C7" t="s">
        <v>190</v>
      </c>
      <c r="D7" t="s">
        <v>183</v>
      </c>
    </row>
    <row r="8" spans="1:4" x14ac:dyDescent="0.25">
      <c r="A8" s="19" t="s">
        <v>96</v>
      </c>
      <c r="B8" s="19" t="b">
        <v>1</v>
      </c>
      <c r="C8" t="s">
        <v>190</v>
      </c>
      <c r="D8" t="s">
        <v>164</v>
      </c>
    </row>
    <row r="9" spans="1:4" x14ac:dyDescent="0.25">
      <c r="A9" s="19" t="s">
        <v>434</v>
      </c>
      <c r="B9" s="42" t="b">
        <v>0</v>
      </c>
      <c r="D9" t="s">
        <v>165</v>
      </c>
    </row>
    <row r="10" spans="1:4" x14ac:dyDescent="0.25">
      <c r="C10" t="s">
        <v>190</v>
      </c>
      <c r="D10" t="s">
        <v>245</v>
      </c>
    </row>
    <row r="11" spans="1:4" x14ac:dyDescent="0.25">
      <c r="C11" t="s">
        <v>190</v>
      </c>
      <c r="D11" t="s">
        <v>184</v>
      </c>
    </row>
    <row r="12" spans="1:4" x14ac:dyDescent="0.25">
      <c r="C12" t="s">
        <v>190</v>
      </c>
      <c r="D12" t="s">
        <v>212</v>
      </c>
    </row>
    <row r="13" spans="1:4" x14ac:dyDescent="0.25">
      <c r="C13" t="s">
        <v>190</v>
      </c>
      <c r="D13" t="s">
        <v>213</v>
      </c>
    </row>
    <row r="14" spans="1:4" x14ac:dyDescent="0.25">
      <c r="C14" t="s">
        <v>190</v>
      </c>
      <c r="D14" t="s">
        <v>241</v>
      </c>
    </row>
    <row r="15" spans="1:4" x14ac:dyDescent="0.25">
      <c r="C15" t="s">
        <v>190</v>
      </c>
      <c r="D15" t="s">
        <v>242</v>
      </c>
    </row>
    <row r="16" spans="1:4" x14ac:dyDescent="0.25">
      <c r="C16" t="s">
        <v>190</v>
      </c>
      <c r="D16" t="s">
        <v>246</v>
      </c>
    </row>
    <row r="17" spans="1:4" x14ac:dyDescent="0.25">
      <c r="C17" t="s">
        <v>190</v>
      </c>
      <c r="D17" t="s">
        <v>249</v>
      </c>
    </row>
    <row r="18" spans="1:4" s="3" customFormat="1" x14ac:dyDescent="0.25">
      <c r="A18" s="19"/>
      <c r="B18" s="19"/>
      <c r="C18" s="3" t="s">
        <v>190</v>
      </c>
      <c r="D18" s="3" t="s">
        <v>340</v>
      </c>
    </row>
    <row r="19" spans="1:4" s="3" customFormat="1" x14ac:dyDescent="0.25">
      <c r="A19" s="19"/>
      <c r="B19" s="19"/>
      <c r="D19" s="3" t="s">
        <v>380</v>
      </c>
    </row>
    <row r="20" spans="1:4" s="3" customFormat="1" x14ac:dyDescent="0.25">
      <c r="A20" s="19"/>
      <c r="B20" s="19"/>
      <c r="D20" s="3" t="s">
        <v>381</v>
      </c>
    </row>
    <row r="21" spans="1:4" s="3" customFormat="1" x14ac:dyDescent="0.25">
      <c r="A21" s="19"/>
      <c r="B21" s="19"/>
      <c r="C21" s="3" t="s">
        <v>190</v>
      </c>
      <c r="D21" s="3" t="s">
        <v>399</v>
      </c>
    </row>
    <row r="23" spans="1:4" x14ac:dyDescent="0.25">
      <c r="D23" s="1" t="s">
        <v>337</v>
      </c>
    </row>
    <row r="24" spans="1:4" x14ac:dyDescent="0.25">
      <c r="D24" t="s">
        <v>338</v>
      </c>
    </row>
    <row r="25" spans="1:4" x14ac:dyDescent="0.25">
      <c r="D25" t="s">
        <v>339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rgb="FFFFFF00"/>
  </sheetPr>
  <dimension ref="A1:BF147"/>
  <sheetViews>
    <sheetView topLeftCell="D52" zoomScaleNormal="100" workbookViewId="0">
      <selection activeCell="Q47" sqref="Q47:Q147"/>
    </sheetView>
  </sheetViews>
  <sheetFormatPr defaultColWidth="0" defaultRowHeight="15" customHeight="1" x14ac:dyDescent="0.25"/>
  <cols>
    <col min="1" max="1" width="20.85546875" style="114" hidden="1" customWidth="1"/>
    <col min="2" max="2" width="12.140625" style="114" hidden="1" customWidth="1"/>
    <col min="3" max="3" width="9.85546875" style="114" hidden="1" customWidth="1"/>
    <col min="4" max="4" width="9.140625" style="91" customWidth="1"/>
    <col min="5" max="5" width="7.42578125" style="91" customWidth="1"/>
    <col min="6" max="6" width="5.7109375" style="91" customWidth="1"/>
    <col min="7" max="7" width="13.28515625" style="91" customWidth="1"/>
    <col min="8" max="8" width="17.28515625" style="91" customWidth="1"/>
    <col min="9" max="9" width="4.42578125" style="91" customWidth="1"/>
    <col min="10" max="10" width="12.7109375" style="91" customWidth="1"/>
    <col min="11" max="11" width="4.7109375" style="101" customWidth="1"/>
    <col min="12" max="12" width="18.7109375" style="91" customWidth="1"/>
    <col min="13" max="13" width="10.5703125" style="91" customWidth="1"/>
    <col min="14" max="15" width="3.140625" style="91" customWidth="1"/>
    <col min="16" max="16" width="4.42578125" style="91" customWidth="1"/>
    <col min="17" max="36" width="10.7109375" style="91" customWidth="1"/>
    <col min="37" max="37" width="9.5703125" style="91" customWidth="1"/>
    <col min="38" max="57" width="10.7109375" style="91" customWidth="1"/>
    <col min="58" max="58" width="9.140625" style="91" customWidth="1"/>
    <col min="59" max="16384" width="9.140625" style="91" hidden="1"/>
  </cols>
  <sheetData>
    <row r="1" spans="1:24" s="89" customFormat="1" ht="15" hidden="1" customHeight="1" x14ac:dyDescent="0.25">
      <c r="A1" s="89" t="s">
        <v>71</v>
      </c>
      <c r="B1" s="89" t="s">
        <v>75</v>
      </c>
      <c r="N1" s="114"/>
      <c r="O1" s="114"/>
    </row>
    <row r="2" spans="1:24" s="90" customFormat="1" ht="15" customHeight="1" x14ac:dyDescent="0.25">
      <c r="A2" s="89" t="s">
        <v>73</v>
      </c>
      <c r="B2" s="89">
        <v>1.1000000000000001</v>
      </c>
      <c r="C2" s="89"/>
      <c r="E2" s="91"/>
      <c r="N2" s="91"/>
      <c r="O2" s="91"/>
    </row>
    <row r="3" spans="1:24" s="90" customFormat="1" ht="15" customHeight="1" x14ac:dyDescent="0.25">
      <c r="A3" s="89" t="s">
        <v>89</v>
      </c>
      <c r="B3" s="89">
        <v>2</v>
      </c>
      <c r="C3" s="89"/>
      <c r="E3" s="91"/>
      <c r="N3" s="91"/>
      <c r="O3" s="91"/>
      <c r="S3" s="91"/>
      <c r="T3" s="91"/>
      <c r="U3" s="91"/>
      <c r="V3" s="91"/>
    </row>
    <row r="4" spans="1:24" s="90" customFormat="1" ht="26.25" x14ac:dyDescent="0.4">
      <c r="A4" s="89" t="s">
        <v>90</v>
      </c>
      <c r="B4" s="89">
        <v>4</v>
      </c>
      <c r="C4" s="89"/>
      <c r="E4" s="91"/>
      <c r="I4" s="92" t="s">
        <v>56</v>
      </c>
      <c r="N4" s="91"/>
      <c r="O4" s="91"/>
      <c r="S4" s="91"/>
      <c r="T4" s="101"/>
      <c r="U4" s="128"/>
      <c r="V4" s="91"/>
    </row>
    <row r="5" spans="1:24" s="90" customFormat="1" ht="15" customHeight="1" x14ac:dyDescent="0.25">
      <c r="A5" s="89" t="s">
        <v>91</v>
      </c>
      <c r="B5" s="89">
        <v>68</v>
      </c>
      <c r="C5" s="89"/>
      <c r="E5" s="91"/>
      <c r="N5" s="91"/>
      <c r="O5" s="91"/>
      <c r="S5" s="91"/>
      <c r="T5" s="129"/>
      <c r="U5" s="128"/>
      <c r="V5" s="91"/>
    </row>
    <row r="6" spans="1:24" s="90" customFormat="1" ht="15" customHeight="1" x14ac:dyDescent="0.25">
      <c r="A6" s="89" t="s">
        <v>92</v>
      </c>
      <c r="B6" s="89">
        <v>58</v>
      </c>
      <c r="C6" s="89"/>
      <c r="E6" s="91"/>
      <c r="N6" s="91"/>
      <c r="O6" s="91"/>
      <c r="S6" s="91"/>
      <c r="T6" s="91"/>
      <c r="U6" s="91"/>
      <c r="V6" s="91"/>
    </row>
    <row r="7" spans="1:24" s="90" customFormat="1" ht="15" customHeight="1" x14ac:dyDescent="0.25">
      <c r="A7" s="89" t="s">
        <v>94</v>
      </c>
      <c r="B7" s="89" t="b">
        <f>NOT(IsCalculationTool)</f>
        <v>1</v>
      </c>
      <c r="C7" s="89"/>
      <c r="E7" s="91"/>
      <c r="N7" s="91"/>
      <c r="O7" s="91"/>
      <c r="T7" s="91"/>
      <c r="U7" s="91"/>
    </row>
    <row r="8" spans="1:24" s="90" customFormat="1" ht="15" customHeight="1" x14ac:dyDescent="0.25">
      <c r="A8" s="89" t="s">
        <v>96</v>
      </c>
      <c r="B8" s="89" t="b">
        <v>1</v>
      </c>
      <c r="C8" s="89"/>
      <c r="E8" s="91"/>
      <c r="K8" s="91"/>
      <c r="N8" s="91"/>
      <c r="O8" s="91"/>
    </row>
    <row r="9" spans="1:24" s="90" customFormat="1" ht="18.75" x14ac:dyDescent="0.3">
      <c r="A9" s="90" t="s">
        <v>434</v>
      </c>
      <c r="B9" s="130" t="b">
        <v>0</v>
      </c>
      <c r="C9" s="130"/>
      <c r="E9" s="349" t="s">
        <v>57</v>
      </c>
      <c r="F9" s="349"/>
      <c r="G9" s="349"/>
      <c r="H9" s="349"/>
      <c r="I9" s="349"/>
      <c r="J9" s="349"/>
      <c r="K9" s="349"/>
      <c r="L9" s="349"/>
      <c r="M9" s="349"/>
      <c r="N9" s="101"/>
      <c r="O9" s="101"/>
      <c r="P9" s="93" t="s">
        <v>157</v>
      </c>
      <c r="Q9" s="131"/>
      <c r="R9" s="131"/>
      <c r="S9" s="131"/>
      <c r="T9" s="131"/>
      <c r="U9" s="131"/>
      <c r="V9" s="131"/>
      <c r="W9" s="131"/>
      <c r="X9" s="132"/>
    </row>
    <row r="10" spans="1:24" s="90" customFormat="1" x14ac:dyDescent="0.25">
      <c r="A10" s="89"/>
      <c r="B10" s="89"/>
      <c r="C10" s="89"/>
      <c r="E10" s="95"/>
      <c r="F10" s="95"/>
      <c r="G10" s="95"/>
      <c r="H10" s="95"/>
      <c r="I10" s="95"/>
      <c r="J10" s="95"/>
      <c r="K10" s="110"/>
      <c r="L10" s="110"/>
      <c r="M10" s="110"/>
      <c r="N10" s="91"/>
      <c r="O10" s="91"/>
      <c r="Q10" s="132"/>
      <c r="R10" s="132"/>
      <c r="S10" s="132"/>
      <c r="T10" s="132"/>
      <c r="U10" s="132"/>
      <c r="V10" s="132"/>
      <c r="W10" s="132"/>
      <c r="X10" s="132"/>
    </row>
    <row r="11" spans="1:24" s="90" customFormat="1" x14ac:dyDescent="0.25">
      <c r="A11" s="89"/>
      <c r="B11" s="89"/>
      <c r="C11" s="89"/>
      <c r="E11" s="95"/>
      <c r="F11" s="95" t="s">
        <v>58</v>
      </c>
      <c r="G11" s="95"/>
      <c r="H11" s="95"/>
      <c r="I11" s="95"/>
      <c r="J11" s="198" t="s">
        <v>126</v>
      </c>
      <c r="K11" s="134"/>
      <c r="L11" s="134"/>
      <c r="M11" s="135"/>
      <c r="N11" s="128"/>
      <c r="O11" s="128"/>
      <c r="P11" s="136"/>
      <c r="Q11" s="132"/>
      <c r="R11" s="132"/>
      <c r="S11" s="132"/>
      <c r="T11" s="132"/>
      <c r="U11" s="132"/>
      <c r="V11" s="132"/>
      <c r="W11" s="132"/>
      <c r="X11" s="132"/>
    </row>
    <row r="12" spans="1:24" s="90" customFormat="1" x14ac:dyDescent="0.25">
      <c r="A12" s="89"/>
      <c r="B12" s="89"/>
      <c r="C12" s="89"/>
      <c r="E12" s="95"/>
      <c r="F12" s="95" t="s">
        <v>3</v>
      </c>
      <c r="G12" s="95"/>
      <c r="H12" s="95"/>
      <c r="I12" s="95"/>
      <c r="J12" s="133">
        <v>20</v>
      </c>
      <c r="K12" s="137"/>
      <c r="L12" s="137"/>
      <c r="M12" s="95"/>
      <c r="N12" s="91"/>
      <c r="O12" s="91"/>
      <c r="Q12" s="138" t="e">
        <f xml:space="preserve"> "For comparision, the median earnings in " &amp; Country &amp; " of an employee of this age is " &amp; Currency &amp; " " &amp; TEXT(B19,"#,###.-") &amp; " based on Eurostat data"</f>
        <v>#N/A</v>
      </c>
      <c r="R12" s="132"/>
      <c r="S12" s="132"/>
      <c r="T12" s="132"/>
      <c r="U12" s="132"/>
      <c r="V12" s="132"/>
      <c r="W12" s="132"/>
      <c r="X12" s="132"/>
    </row>
    <row r="13" spans="1:24" s="90" customFormat="1" x14ac:dyDescent="0.25">
      <c r="A13" s="89"/>
      <c r="B13" s="89"/>
      <c r="C13" s="89"/>
      <c r="E13" s="95"/>
      <c r="F13" s="95" t="s">
        <v>356</v>
      </c>
      <c r="G13" s="139"/>
      <c r="H13" s="139"/>
      <c r="I13" s="95"/>
      <c r="J13" s="191">
        <v>67</v>
      </c>
      <c r="K13" s="137"/>
      <c r="L13" s="137"/>
      <c r="M13" s="95"/>
      <c r="N13" s="91"/>
      <c r="O13" s="91"/>
      <c r="P13" s="132"/>
      <c r="R13" s="132"/>
      <c r="S13" s="132"/>
      <c r="T13" s="132"/>
      <c r="U13" s="132"/>
      <c r="V13" s="132"/>
      <c r="W13" s="132"/>
      <c r="X13" s="132"/>
    </row>
    <row r="14" spans="1:24" s="90" customFormat="1" x14ac:dyDescent="0.25">
      <c r="A14" s="89"/>
      <c r="B14" s="89"/>
      <c r="C14" s="89"/>
      <c r="E14" s="95"/>
      <c r="F14" s="95" t="s">
        <v>59</v>
      </c>
      <c r="G14" s="95"/>
      <c r="H14" s="95"/>
      <c r="I14" s="95"/>
      <c r="J14" s="133">
        <f>Pension_age-CurrentYearsToRetirement</f>
        <v>47</v>
      </c>
      <c r="K14" s="137"/>
      <c r="L14" s="137"/>
      <c r="M14" s="95"/>
      <c r="N14" s="91"/>
      <c r="O14" s="91"/>
      <c r="P14" s="132"/>
      <c r="Q14" s="140"/>
      <c r="R14" s="132"/>
      <c r="S14" s="132"/>
      <c r="T14" s="132"/>
      <c r="U14" s="132"/>
      <c r="V14" s="132"/>
      <c r="W14" s="132"/>
      <c r="X14" s="132"/>
    </row>
    <row r="15" spans="1:24" s="90" customFormat="1" x14ac:dyDescent="0.25">
      <c r="A15" s="89"/>
      <c r="B15" s="89"/>
      <c r="C15" s="89"/>
      <c r="E15" s="95"/>
      <c r="F15" s="95"/>
      <c r="G15" s="95"/>
      <c r="H15" s="95"/>
      <c r="I15" s="135"/>
      <c r="J15" s="135"/>
      <c r="K15" s="137"/>
      <c r="L15" s="137"/>
      <c r="M15" s="95"/>
      <c r="N15" s="91"/>
      <c r="O15" s="91"/>
      <c r="P15" s="136"/>
      <c r="Q15" s="132"/>
      <c r="R15" s="132"/>
      <c r="S15" s="132"/>
      <c r="T15" s="132"/>
      <c r="U15" s="132"/>
      <c r="V15" s="132"/>
      <c r="W15" s="132"/>
      <c r="X15" s="132"/>
    </row>
    <row r="16" spans="1:24" s="90" customFormat="1" x14ac:dyDescent="0.25">
      <c r="A16" s="89"/>
      <c r="B16" s="89"/>
      <c r="C16" s="89"/>
      <c r="E16" s="95"/>
      <c r="F16" s="95" t="s">
        <v>127</v>
      </c>
      <c r="G16" s="95"/>
      <c r="H16" s="95"/>
      <c r="I16" s="95"/>
      <c r="J16" s="367"/>
      <c r="K16" s="368"/>
      <c r="L16" s="368"/>
      <c r="M16" s="135"/>
      <c r="N16" s="128"/>
      <c r="O16" s="128"/>
      <c r="P16" s="132"/>
      <c r="R16" s="132"/>
      <c r="S16" s="132"/>
      <c r="T16" s="132"/>
      <c r="U16" s="132"/>
      <c r="V16" s="132"/>
      <c r="W16" s="132"/>
      <c r="X16" s="132"/>
    </row>
    <row r="17" spans="1:24" s="90" customFormat="1" x14ac:dyDescent="0.25">
      <c r="A17" s="89"/>
      <c r="B17" s="89"/>
      <c r="C17" s="89"/>
      <c r="E17" s="95"/>
      <c r="F17" s="95" t="s">
        <v>150</v>
      </c>
      <c r="G17" s="95"/>
      <c r="H17" s="95"/>
      <c r="I17" s="95"/>
      <c r="J17" s="369"/>
      <c r="K17" s="370"/>
      <c r="L17" s="370"/>
      <c r="M17" s="135"/>
      <c r="N17" s="128"/>
      <c r="O17" s="128"/>
      <c r="P17" s="132"/>
      <c r="Q17" s="132"/>
      <c r="R17" s="132"/>
      <c r="S17" s="132"/>
      <c r="T17" s="132"/>
      <c r="U17" s="132"/>
      <c r="V17" s="141"/>
      <c r="W17" s="132"/>
      <c r="X17" s="132"/>
    </row>
    <row r="18" spans="1:24" s="90" customFormat="1" x14ac:dyDescent="0.25">
      <c r="A18" s="89"/>
      <c r="B18" s="89"/>
      <c r="C18" s="89"/>
      <c r="E18" s="95"/>
      <c r="F18" s="95"/>
      <c r="G18" s="95"/>
      <c r="H18" s="95"/>
      <c r="I18" s="142"/>
      <c r="J18" s="142"/>
      <c r="K18" s="143"/>
      <c r="L18" s="143"/>
      <c r="M18" s="95"/>
      <c r="N18" s="144"/>
      <c r="O18" s="144"/>
      <c r="P18" s="136"/>
      <c r="Q18" s="132"/>
      <c r="R18" s="132"/>
      <c r="S18" s="132"/>
      <c r="T18" s="132"/>
      <c r="U18" s="132"/>
      <c r="V18" s="141"/>
      <c r="W18" s="132"/>
      <c r="X18" s="132"/>
    </row>
    <row r="19" spans="1:24" s="90" customFormat="1" x14ac:dyDescent="0.25">
      <c r="A19" s="89" t="s">
        <v>63</v>
      </c>
      <c r="B19" s="145" t="e">
        <f>INDEX(AverageWages,MATCH(Age,CareerAge,0),MATCH(CountryAbbrev,CareerCountries,0))</f>
        <v>#N/A</v>
      </c>
      <c r="C19" s="145"/>
      <c r="E19" s="95"/>
      <c r="F19" s="146" t="s">
        <v>355</v>
      </c>
      <c r="G19" s="95"/>
      <c r="H19" s="95"/>
      <c r="I19" s="95"/>
      <c r="J19" s="117">
        <v>35000</v>
      </c>
      <c r="K19" s="95"/>
      <c r="L19" s="95"/>
      <c r="M19" s="95"/>
      <c r="N19" s="144"/>
      <c r="O19" s="144"/>
      <c r="P19" s="132"/>
      <c r="Q19" s="141"/>
      <c r="R19" s="132"/>
      <c r="S19" s="132"/>
      <c r="T19" s="132"/>
      <c r="U19" s="132"/>
      <c r="V19" s="132"/>
      <c r="W19" s="132"/>
      <c r="X19" s="132"/>
    </row>
    <row r="20" spans="1:24" s="90" customFormat="1" x14ac:dyDescent="0.25">
      <c r="A20" s="89"/>
      <c r="B20" s="89"/>
      <c r="C20" s="89"/>
      <c r="E20" s="95"/>
      <c r="F20" s="95"/>
      <c r="G20" s="95"/>
      <c r="H20" s="95"/>
      <c r="I20" s="95"/>
      <c r="J20" s="95"/>
      <c r="K20" s="147"/>
      <c r="L20" s="95"/>
      <c r="M20" s="147"/>
      <c r="N20" s="144"/>
      <c r="O20" s="144"/>
      <c r="P20" s="132"/>
      <c r="Q20" s="141"/>
      <c r="R20" s="132"/>
      <c r="S20" s="132"/>
      <c r="T20" s="132"/>
      <c r="U20" s="132"/>
      <c r="V20" s="132"/>
      <c r="W20" s="132"/>
      <c r="X20" s="132"/>
    </row>
    <row r="21" spans="1:24" s="90" customFormat="1" x14ac:dyDescent="0.25">
      <c r="A21" s="89"/>
      <c r="B21" s="89"/>
      <c r="C21" s="89"/>
      <c r="E21" s="95"/>
      <c r="F21" s="95" t="s">
        <v>148</v>
      </c>
      <c r="G21" s="95"/>
      <c r="H21" s="95"/>
      <c r="I21" s="95"/>
      <c r="J21" s="192">
        <v>15000</v>
      </c>
      <c r="K21" s="95"/>
      <c r="L21" s="137"/>
      <c r="M21" s="95"/>
      <c r="N21" s="144"/>
      <c r="O21" s="144"/>
      <c r="P21" s="132"/>
      <c r="Q21" s="132"/>
      <c r="R21" s="132"/>
      <c r="S21" s="132"/>
      <c r="T21" s="132"/>
      <c r="U21" s="132"/>
      <c r="V21" s="132"/>
      <c r="W21" s="132"/>
      <c r="X21" s="132"/>
    </row>
    <row r="22" spans="1:24" s="90" customFormat="1" ht="15" customHeight="1" x14ac:dyDescent="0.25">
      <c r="A22" s="89"/>
      <c r="B22" s="89"/>
      <c r="C22" s="89"/>
      <c r="E22" s="95"/>
      <c r="F22" s="95"/>
      <c r="G22" s="95"/>
      <c r="H22" s="95"/>
      <c r="I22" s="95"/>
      <c r="J22" s="110"/>
      <c r="K22" s="110"/>
      <c r="L22" s="110"/>
      <c r="M22" s="95"/>
      <c r="N22" s="144"/>
      <c r="O22" s="144"/>
      <c r="P22" s="132"/>
      <c r="Q22" s="132"/>
      <c r="R22" s="132"/>
      <c r="S22" s="132"/>
      <c r="T22" s="132"/>
      <c r="U22" s="132"/>
      <c r="V22" s="132"/>
      <c r="W22" s="132"/>
      <c r="X22" s="132"/>
    </row>
    <row r="23" spans="1:24" s="90" customFormat="1" ht="30" x14ac:dyDescent="0.25">
      <c r="A23" s="89"/>
      <c r="B23" s="89"/>
      <c r="C23" s="89"/>
      <c r="E23" s="95"/>
      <c r="F23" s="123" t="s">
        <v>153</v>
      </c>
      <c r="G23" s="95"/>
      <c r="H23" s="95"/>
      <c r="I23" s="95"/>
      <c r="J23" s="110"/>
      <c r="K23" s="148"/>
      <c r="L23" s="195" t="s">
        <v>551</v>
      </c>
      <c r="M23" s="95"/>
      <c r="N23" s="144"/>
      <c r="O23" s="144"/>
      <c r="P23" s="132"/>
      <c r="Q23" s="132"/>
      <c r="R23" s="132"/>
      <c r="S23" s="132"/>
      <c r="T23" s="132"/>
      <c r="U23" s="132"/>
      <c r="V23" s="132"/>
      <c r="W23" s="132"/>
      <c r="X23" s="132"/>
    </row>
    <row r="24" spans="1:24" s="90" customFormat="1" x14ac:dyDescent="0.25">
      <c r="A24" s="89" t="s">
        <v>155</v>
      </c>
      <c r="B24" s="56" t="b">
        <v>0</v>
      </c>
      <c r="C24" s="89"/>
      <c r="E24" s="95"/>
      <c r="F24" s="95"/>
      <c r="G24" s="146" t="s">
        <v>151</v>
      </c>
      <c r="H24" s="146"/>
      <c r="I24" s="111"/>
      <c r="J24" s="56">
        <v>10000</v>
      </c>
      <c r="K24" s="149" t="s">
        <v>552</v>
      </c>
      <c r="L24" s="116" t="s">
        <v>55</v>
      </c>
      <c r="M24" s="95"/>
      <c r="N24" s="144"/>
      <c r="O24" s="144"/>
      <c r="P24" s="150"/>
      <c r="Q24" s="141"/>
      <c r="R24" s="132"/>
      <c r="S24" s="132"/>
      <c r="T24" s="132"/>
      <c r="U24" s="132"/>
      <c r="V24" s="141"/>
      <c r="W24" s="132"/>
      <c r="X24" s="132"/>
    </row>
    <row r="25" spans="1:24" s="90" customFormat="1" ht="15" customHeight="1" x14ac:dyDescent="0.25">
      <c r="A25" s="89" t="s">
        <v>156</v>
      </c>
      <c r="B25" s="56" t="b">
        <v>0</v>
      </c>
      <c r="C25" s="89"/>
      <c r="E25" s="95"/>
      <c r="F25" s="95"/>
      <c r="G25" s="146" t="s">
        <v>154</v>
      </c>
      <c r="H25" s="146"/>
      <c r="I25" s="111"/>
      <c r="J25" s="56">
        <v>100000</v>
      </c>
      <c r="K25" s="149" t="s">
        <v>552</v>
      </c>
      <c r="L25" s="116" t="s">
        <v>55</v>
      </c>
      <c r="M25" s="95"/>
      <c r="N25" s="144"/>
      <c r="O25" s="144"/>
      <c r="P25" s="132"/>
      <c r="Q25" s="141"/>
      <c r="R25" s="132"/>
      <c r="S25" s="132"/>
      <c r="T25" s="132"/>
      <c r="U25" s="132"/>
      <c r="V25" s="141"/>
      <c r="W25" s="132"/>
      <c r="X25" s="132"/>
    </row>
    <row r="26" spans="1:24" s="90" customFormat="1" ht="15" customHeight="1" x14ac:dyDescent="0.25">
      <c r="A26" s="89"/>
      <c r="B26" s="89"/>
      <c r="C26" s="89"/>
      <c r="E26" s="95"/>
      <c r="F26" s="95"/>
      <c r="G26" s="95"/>
      <c r="H26" s="95"/>
      <c r="I26" s="95"/>
      <c r="J26" s="95"/>
      <c r="K26" s="95"/>
      <c r="L26" s="110"/>
      <c r="M26" s="95"/>
      <c r="N26" s="144"/>
      <c r="O26" s="144"/>
      <c r="P26" s="141"/>
      <c r="Q26" s="151"/>
      <c r="R26" s="132"/>
      <c r="S26" s="132"/>
      <c r="T26" s="132"/>
      <c r="U26" s="132"/>
      <c r="V26" s="141"/>
      <c r="W26" s="132"/>
      <c r="X26" s="132"/>
    </row>
    <row r="27" spans="1:24" s="90" customFormat="1" ht="30" x14ac:dyDescent="0.25">
      <c r="A27" s="89"/>
      <c r="B27" s="89"/>
      <c r="C27" s="89"/>
      <c r="E27" s="95"/>
      <c r="F27" s="123" t="s">
        <v>556</v>
      </c>
      <c r="G27" s="95"/>
      <c r="H27" s="95"/>
      <c r="I27" s="95"/>
      <c r="J27" s="95"/>
      <c r="K27" s="95"/>
      <c r="L27" s="168" t="s">
        <v>578</v>
      </c>
      <c r="M27" s="95"/>
      <c r="N27" s="144"/>
      <c r="O27" s="144"/>
      <c r="P27" s="141"/>
      <c r="Q27" s="151"/>
      <c r="R27" s="132"/>
      <c r="S27" s="132"/>
      <c r="T27" s="132"/>
      <c r="U27" s="132"/>
      <c r="V27" s="141"/>
      <c r="W27" s="132"/>
      <c r="X27" s="132"/>
    </row>
    <row r="28" spans="1:24" s="90" customFormat="1" ht="15" customHeight="1" x14ac:dyDescent="0.25">
      <c r="A28" s="89"/>
      <c r="B28" s="89"/>
      <c r="C28" s="89"/>
      <c r="E28" s="95"/>
      <c r="F28" s="95"/>
      <c r="G28" s="152" t="s">
        <v>553</v>
      </c>
      <c r="H28" s="95"/>
      <c r="I28" s="95"/>
      <c r="J28" s="153">
        <f t="array" aca="1" ref="J28" ca="1">MMULT(OFFSET(AssetWeightsBaseline,0,0,1,NumberOfAssets),1*(OFFSET(tblAssetMenuSpecs[[#Headers],[Asset category]],1,0,NumberOfAssets,1)="Equities"))*Initial_pension_wealth</f>
        <v>0</v>
      </c>
      <c r="K28" s="149" t="s">
        <v>552</v>
      </c>
      <c r="L28" s="192"/>
      <c r="M28" s="95"/>
      <c r="N28" s="144"/>
      <c r="O28" s="144"/>
      <c r="P28" s="141"/>
      <c r="Q28" s="151"/>
      <c r="R28" s="132"/>
      <c r="S28" s="132"/>
      <c r="T28" s="132"/>
      <c r="U28" s="132"/>
      <c r="V28" s="141"/>
      <c r="W28" s="132"/>
      <c r="X28" s="132"/>
    </row>
    <row r="29" spans="1:24" s="90" customFormat="1" ht="15" customHeight="1" x14ac:dyDescent="0.25">
      <c r="A29" s="89"/>
      <c r="B29" s="89"/>
      <c r="C29" s="89"/>
      <c r="E29" s="95"/>
      <c r="F29" s="95"/>
      <c r="G29" s="152" t="s">
        <v>554</v>
      </c>
      <c r="H29" s="95"/>
      <c r="I29" s="95"/>
      <c r="J29" s="153">
        <f t="array" aca="1" ref="J29" ca="1">MMULT(OFFSET(AssetWeightsBaseline,0,0,1,NumberOfAssets),1*(OFFSET(tblAssetMenuSpecs[[#Headers],[Asset category]],1,0,NumberOfAssets,1)="Fixed income"))*Initial_pension_wealth</f>
        <v>15000</v>
      </c>
      <c r="K29" s="149" t="s">
        <v>552</v>
      </c>
      <c r="L29" s="192"/>
      <c r="M29" s="95"/>
      <c r="N29" s="144"/>
      <c r="O29" s="144"/>
      <c r="P29" s="141"/>
      <c r="Q29" s="151"/>
      <c r="R29" s="132"/>
      <c r="S29" s="132"/>
      <c r="T29" s="132"/>
      <c r="U29" s="132"/>
      <c r="V29" s="141"/>
      <c r="W29" s="132"/>
      <c r="X29" s="132"/>
    </row>
    <row r="30" spans="1:24" s="90" customFormat="1" ht="15" customHeight="1" x14ac:dyDescent="0.25">
      <c r="A30" s="89"/>
      <c r="B30" s="89"/>
      <c r="C30" s="89"/>
      <c r="E30" s="95"/>
      <c r="F30" s="95"/>
      <c r="G30" s="152" t="s">
        <v>555</v>
      </c>
      <c r="H30" s="95"/>
      <c r="I30" s="95"/>
      <c r="J30" s="153">
        <f t="array" aca="1" ref="J30" ca="1">MMULT(OFFSET(AssetWeightsBaseline,0,0,1,NumberOfAssets),1*(OFFSET(tblAssetMenuSpecs[[#Headers],[Spread type]],1,0,NumberOfAssets,1)&lt;&gt;0))*Initial_pension_wealth</f>
        <v>0</v>
      </c>
      <c r="K30" s="149" t="s">
        <v>552</v>
      </c>
      <c r="L30" s="192"/>
      <c r="M30" s="95"/>
      <c r="N30" s="144"/>
      <c r="O30" s="144"/>
      <c r="P30" s="141"/>
      <c r="Q30" s="151"/>
      <c r="R30" s="132"/>
      <c r="S30" s="132"/>
      <c r="T30" s="132"/>
      <c r="U30" s="132"/>
      <c r="V30" s="141"/>
      <c r="W30" s="132"/>
      <c r="X30" s="132"/>
    </row>
    <row r="31" spans="1:24" s="90" customFormat="1" ht="15" customHeight="1" x14ac:dyDescent="0.25">
      <c r="A31" s="89"/>
      <c r="B31" s="89"/>
      <c r="C31" s="89"/>
      <c r="E31" s="95"/>
      <c r="F31" s="95"/>
      <c r="G31" s="152" t="s">
        <v>557</v>
      </c>
      <c r="H31" s="95"/>
      <c r="I31" s="95"/>
      <c r="J31" s="153">
        <f t="array" aca="1" ref="J31" ca="1">MMULT(OFFSET(AssetWeightsBaseline,0,0,1,NumberOfAssets),1*NOT(OFFSET(tblAssetMenuSpecs[[#Headers],[Inflation linked]],1,0,NumberOfAssets,1))*(OFFSET(tblAssetMenuSpecs[[#Headers],[Asset category]],1,0,NumberOfAssets,1)="Fixed income"))*Initial_pension_wealth</f>
        <v>15000</v>
      </c>
      <c r="K31" s="149" t="s">
        <v>552</v>
      </c>
      <c r="L31" s="192"/>
      <c r="M31" s="95"/>
      <c r="N31" s="144"/>
      <c r="O31" s="144"/>
      <c r="P31" s="141"/>
      <c r="Q31" s="151"/>
      <c r="R31" s="132"/>
      <c r="S31" s="132"/>
      <c r="T31" s="132"/>
      <c r="U31" s="132"/>
      <c r="V31" s="141"/>
      <c r="W31" s="132"/>
      <c r="X31" s="132"/>
    </row>
    <row r="32" spans="1:24" s="90" customFormat="1" ht="15" customHeight="1" x14ac:dyDescent="0.25">
      <c r="A32" s="89" t="s">
        <v>592</v>
      </c>
      <c r="B32" s="216">
        <f>IF(ActiveMarketScenarioName="Adverse",$L$32,0)</f>
        <v>0</v>
      </c>
      <c r="C32" s="89"/>
      <c r="E32" s="95"/>
      <c r="F32" s="95"/>
      <c r="G32" s="95"/>
      <c r="H32" s="95"/>
      <c r="I32" s="95"/>
      <c r="J32" s="95"/>
      <c r="K32" s="139" t="s">
        <v>123</v>
      </c>
      <c r="L32" s="153">
        <f>SUM(L28:L31)</f>
        <v>0</v>
      </c>
      <c r="M32" s="95"/>
      <c r="N32" s="144"/>
      <c r="O32" s="144"/>
      <c r="P32" s="141"/>
      <c r="Q32" s="151"/>
      <c r="R32" s="132"/>
      <c r="S32" s="132"/>
      <c r="T32" s="132"/>
      <c r="U32" s="132"/>
      <c r="V32" s="141"/>
      <c r="W32" s="132"/>
      <c r="X32" s="132"/>
    </row>
    <row r="33" spans="1:57" s="90" customFormat="1" ht="15" customHeight="1" x14ac:dyDescent="0.25">
      <c r="A33" s="89"/>
      <c r="B33" s="89"/>
      <c r="C33" s="89"/>
      <c r="E33" s="95"/>
      <c r="F33" s="95"/>
      <c r="G33" s="95"/>
      <c r="H33" s="95"/>
      <c r="I33" s="95"/>
      <c r="J33" s="95"/>
      <c r="K33" s="95"/>
      <c r="L33" s="110"/>
      <c r="M33" s="95"/>
      <c r="N33" s="144"/>
      <c r="O33" s="144"/>
      <c r="P33" s="141"/>
      <c r="Q33" s="151"/>
      <c r="R33" s="132"/>
      <c r="S33" s="132"/>
      <c r="T33" s="132"/>
      <c r="U33" s="132"/>
      <c r="V33" s="141"/>
      <c r="W33" s="132"/>
      <c r="X33" s="132"/>
    </row>
    <row r="34" spans="1:57" s="90" customFormat="1" ht="15" customHeight="1" thickBot="1" x14ac:dyDescent="0.3">
      <c r="A34" s="89"/>
      <c r="B34" s="89"/>
      <c r="C34" s="89"/>
      <c r="E34" s="91"/>
      <c r="F34" s="91"/>
      <c r="G34" s="91"/>
      <c r="H34" s="91"/>
      <c r="I34" s="91"/>
      <c r="J34" s="91"/>
      <c r="K34" s="91"/>
      <c r="L34" s="128"/>
      <c r="M34" s="91"/>
      <c r="N34" s="144"/>
      <c r="O34" s="144"/>
      <c r="P34" s="141"/>
      <c r="Q34" s="141"/>
      <c r="R34" s="132"/>
      <c r="S34" s="132"/>
      <c r="T34" s="132"/>
      <c r="U34" s="132"/>
      <c r="V34" s="141"/>
      <c r="W34" s="132"/>
      <c r="X34" s="132"/>
    </row>
    <row r="35" spans="1:57" s="90" customFormat="1" x14ac:dyDescent="0.25">
      <c r="A35" s="89"/>
      <c r="B35" s="89"/>
      <c r="C35" s="89"/>
      <c r="E35" s="154"/>
      <c r="F35" s="155"/>
      <c r="G35" s="155"/>
      <c r="H35" s="155"/>
      <c r="I35" s="155"/>
      <c r="J35" s="155"/>
      <c r="K35" s="155"/>
      <c r="L35" s="156"/>
      <c r="M35" s="157"/>
      <c r="N35" s="91"/>
      <c r="O35" s="91"/>
      <c r="P35" s="150"/>
      <c r="Q35" s="132"/>
      <c r="R35" s="132"/>
      <c r="S35" s="132"/>
      <c r="T35" s="132"/>
      <c r="U35" s="132"/>
      <c r="V35" s="132"/>
      <c r="W35" s="132"/>
      <c r="X35" s="132"/>
    </row>
    <row r="36" spans="1:57" s="90" customFormat="1" ht="15" customHeight="1" x14ac:dyDescent="0.35">
      <c r="A36" s="89"/>
      <c r="B36" s="89"/>
      <c r="C36" s="89"/>
      <c r="E36" s="158"/>
      <c r="F36" s="365" t="s">
        <v>172</v>
      </c>
      <c r="G36" s="365"/>
      <c r="H36" s="365"/>
      <c r="I36" s="365"/>
      <c r="J36" s="365"/>
      <c r="K36" s="365"/>
      <c r="L36" s="365"/>
      <c r="M36" s="159"/>
      <c r="N36" s="91"/>
      <c r="O36" s="91"/>
      <c r="P36" s="132"/>
      <c r="Q36" s="138"/>
      <c r="R36" s="132"/>
      <c r="S36" s="132"/>
      <c r="T36" s="132"/>
      <c r="U36" s="132"/>
      <c r="V36" s="132"/>
      <c r="W36" s="132"/>
      <c r="X36" s="132"/>
    </row>
    <row r="37" spans="1:57" s="90" customFormat="1" ht="15" customHeight="1" x14ac:dyDescent="0.25">
      <c r="A37" s="89"/>
      <c r="B37" s="89"/>
      <c r="C37" s="89"/>
      <c r="E37" s="160"/>
      <c r="F37" s="132"/>
      <c r="G37" s="132"/>
      <c r="H37" s="132"/>
      <c r="I37" s="132"/>
      <c r="J37" s="132"/>
      <c r="K37" s="141"/>
      <c r="L37" s="141"/>
      <c r="M37" s="159"/>
      <c r="N37" s="91"/>
      <c r="O37" s="91"/>
      <c r="P37" s="132"/>
      <c r="Q37" s="132"/>
      <c r="R37" s="132"/>
      <c r="S37" s="132"/>
      <c r="T37" s="132"/>
      <c r="U37" s="132"/>
      <c r="V37" s="132"/>
      <c r="W37" s="132"/>
      <c r="X37" s="132"/>
    </row>
    <row r="38" spans="1:57" s="90" customFormat="1" ht="15" customHeight="1" x14ac:dyDescent="0.25">
      <c r="A38" s="115" t="s">
        <v>170</v>
      </c>
      <c r="B38" s="119" t="b">
        <f ca="1">AND(A46:B46)</f>
        <v>1</v>
      </c>
      <c r="C38" s="119"/>
      <c r="E38" s="160"/>
      <c r="F38" s="132">
        <f ca="1">1*INT(B38)</f>
        <v>1</v>
      </c>
      <c r="G38" s="151" t="s">
        <v>168</v>
      </c>
      <c r="H38" s="151"/>
      <c r="I38" s="132"/>
      <c r="J38" s="132"/>
      <c r="K38" s="141"/>
      <c r="L38" s="141"/>
      <c r="M38" s="159"/>
      <c r="N38" s="91"/>
      <c r="O38" s="91"/>
      <c r="P38" s="132"/>
      <c r="Q38" s="132"/>
      <c r="R38" s="132"/>
      <c r="S38" s="132"/>
      <c r="T38" s="132"/>
      <c r="U38" s="132"/>
      <c r="V38" s="132"/>
      <c r="W38" s="132"/>
      <c r="X38" s="132"/>
    </row>
    <row r="39" spans="1:57" ht="15" customHeight="1" x14ac:dyDescent="0.25">
      <c r="A39" s="115" t="s">
        <v>171</v>
      </c>
      <c r="B39" s="89" t="b">
        <f>OR(NOT(IsFloorPensionBase),NOT(IsCapPensionBase),LevelCapPensionBase&gt;=LevelFloorPensionBase)</f>
        <v>1</v>
      </c>
      <c r="C39" s="89"/>
      <c r="E39" s="158"/>
      <c r="F39" s="132">
        <f>1*INT(B39)</f>
        <v>1</v>
      </c>
      <c r="G39" s="132" t="s">
        <v>169</v>
      </c>
      <c r="H39" s="132"/>
      <c r="I39" s="132"/>
      <c r="J39" s="132"/>
      <c r="K39" s="141"/>
      <c r="L39" s="141"/>
      <c r="M39" s="159"/>
      <c r="P39" s="141"/>
      <c r="Q39" s="366"/>
      <c r="R39" s="366"/>
      <c r="S39" s="366"/>
      <c r="T39" s="366"/>
      <c r="U39" s="366"/>
      <c r="V39" s="141"/>
      <c r="W39" s="141"/>
      <c r="X39" s="141"/>
    </row>
    <row r="40" spans="1:57" ht="15" customHeight="1" thickBot="1" x14ac:dyDescent="0.3">
      <c r="E40" s="161"/>
      <c r="F40" s="162"/>
      <c r="G40" s="162"/>
      <c r="H40" s="162"/>
      <c r="I40" s="162"/>
      <c r="J40" s="162"/>
      <c r="K40" s="162"/>
      <c r="L40" s="162"/>
      <c r="M40" s="163"/>
      <c r="P40" s="141"/>
      <c r="Q40" s="366"/>
      <c r="R40" s="366"/>
      <c r="S40" s="366"/>
      <c r="T40" s="366"/>
      <c r="U40" s="366"/>
      <c r="V40" s="141"/>
      <c r="W40" s="141"/>
      <c r="X40" s="141"/>
    </row>
    <row r="41" spans="1:57" ht="15" customHeight="1" x14ac:dyDescent="0.25">
      <c r="A41" s="115" t="s">
        <v>173</v>
      </c>
      <c r="B41" s="119" t="b">
        <f ca="1">AND(B38:B39)</f>
        <v>1</v>
      </c>
      <c r="C41" s="119"/>
      <c r="E41" s="164"/>
      <c r="F41" s="141"/>
      <c r="G41" s="141"/>
      <c r="H41" s="141"/>
      <c r="I41" s="141"/>
      <c r="J41" s="141"/>
      <c r="K41" s="141"/>
      <c r="L41" s="141"/>
      <c r="M41" s="141"/>
      <c r="N41" s="165"/>
      <c r="O41" s="165"/>
      <c r="P41" s="165"/>
      <c r="Q41" s="165"/>
      <c r="R41" s="165"/>
    </row>
    <row r="42" spans="1:57" ht="15" customHeight="1" x14ac:dyDescent="0.25">
      <c r="A42" s="115"/>
      <c r="B42" s="119"/>
      <c r="C42" s="119"/>
      <c r="E42" s="164"/>
      <c r="F42" s="141"/>
      <c r="G42" s="141"/>
      <c r="H42" s="141"/>
      <c r="I42" s="141"/>
      <c r="J42" s="141"/>
      <c r="K42" s="141"/>
      <c r="L42" s="141"/>
      <c r="M42" s="141"/>
      <c r="N42" s="165"/>
      <c r="O42" s="165"/>
      <c r="P42" s="165"/>
      <c r="Q42" s="165"/>
      <c r="R42" s="165"/>
    </row>
    <row r="43" spans="1:57" ht="15" customHeight="1" x14ac:dyDescent="0.25">
      <c r="E43" s="166"/>
      <c r="K43" s="91"/>
      <c r="Q43" s="167" t="s">
        <v>548</v>
      </c>
      <c r="R43" s="168"/>
      <c r="S43" s="168"/>
      <c r="T43" s="168"/>
      <c r="U43" s="168"/>
      <c r="V43" s="168"/>
      <c r="W43" s="168"/>
      <c r="X43" s="168"/>
      <c r="Y43" s="168"/>
      <c r="Z43" s="168"/>
      <c r="AA43" s="168"/>
      <c r="AB43" s="168"/>
      <c r="AC43" s="168"/>
      <c r="AD43" s="168"/>
      <c r="AE43" s="168"/>
      <c r="AF43" s="168"/>
      <c r="AG43" s="168"/>
      <c r="AH43" s="168"/>
      <c r="AI43" s="168"/>
      <c r="AJ43" s="168"/>
      <c r="AL43" s="167" t="s">
        <v>547</v>
      </c>
      <c r="AM43" s="168"/>
      <c r="AN43" s="168"/>
      <c r="AO43" s="168"/>
      <c r="AP43" s="168"/>
      <c r="AQ43" s="168"/>
      <c r="AR43" s="168"/>
      <c r="AS43" s="168"/>
      <c r="AT43" s="168"/>
      <c r="AU43" s="168"/>
      <c r="AV43" s="168"/>
      <c r="AW43" s="168"/>
      <c r="AX43" s="168"/>
      <c r="AY43" s="168"/>
      <c r="AZ43" s="168"/>
      <c r="BA43" s="168"/>
      <c r="BB43" s="168"/>
      <c r="BC43" s="168"/>
      <c r="BD43" s="168"/>
      <c r="BE43" s="168"/>
    </row>
    <row r="44" spans="1:57" s="90" customFormat="1" ht="15" customHeight="1" x14ac:dyDescent="0.25">
      <c r="E44" s="95"/>
      <c r="F44" s="95"/>
      <c r="G44" s="95"/>
      <c r="H44" s="95"/>
      <c r="J44" s="364"/>
      <c r="K44" s="169"/>
      <c r="L44" s="363" t="s">
        <v>357</v>
      </c>
      <c r="M44" s="363"/>
      <c r="N44" s="91"/>
      <c r="O44" s="91"/>
      <c r="Q44" s="95" t="s">
        <v>147</v>
      </c>
      <c r="R44" s="95"/>
      <c r="S44" s="95"/>
      <c r="T44" s="95"/>
      <c r="U44" s="95"/>
      <c r="V44" s="95"/>
      <c r="W44" s="95"/>
      <c r="X44" s="95"/>
      <c r="Y44" s="95"/>
      <c r="Z44" s="95"/>
      <c r="AA44" s="95"/>
      <c r="AB44" s="95"/>
      <c r="AC44" s="95"/>
      <c r="AD44" s="95"/>
      <c r="AE44" s="95"/>
      <c r="AF44" s="95"/>
      <c r="AG44" s="95"/>
      <c r="AH44" s="95"/>
      <c r="AI44" s="95"/>
      <c r="AJ44" s="95"/>
      <c r="AL44" s="95" t="s">
        <v>147</v>
      </c>
      <c r="AM44" s="95"/>
      <c r="AN44" s="95"/>
      <c r="AO44" s="95"/>
      <c r="AP44" s="95"/>
      <c r="AQ44" s="95"/>
      <c r="AR44" s="95"/>
      <c r="AS44" s="95"/>
      <c r="AT44" s="95"/>
      <c r="AU44" s="95"/>
      <c r="AV44" s="95"/>
      <c r="AW44" s="95"/>
      <c r="AX44" s="95"/>
      <c r="AY44" s="95"/>
      <c r="AZ44" s="95"/>
      <c r="BA44" s="95"/>
      <c r="BB44" s="95"/>
      <c r="BC44" s="95"/>
      <c r="BD44" s="95"/>
      <c r="BE44" s="95"/>
    </row>
    <row r="45" spans="1:57" s="90" customFormat="1" ht="15" customHeight="1" x14ac:dyDescent="0.25">
      <c r="A45" s="89" t="s">
        <v>549</v>
      </c>
      <c r="B45" s="89" t="s">
        <v>550</v>
      </c>
      <c r="C45" s="89"/>
      <c r="E45" s="95"/>
      <c r="F45" s="95"/>
      <c r="G45" s="95"/>
      <c r="H45" s="95"/>
      <c r="J45" s="364"/>
      <c r="K45" s="169"/>
      <c r="L45" s="95"/>
      <c r="M45" s="95"/>
      <c r="N45" s="91"/>
      <c r="O45" s="91"/>
      <c r="Q45" s="196">
        <v>1</v>
      </c>
      <c r="R45" s="196">
        <v>2</v>
      </c>
      <c r="S45" s="196">
        <v>3</v>
      </c>
      <c r="T45" s="196">
        <v>4</v>
      </c>
      <c r="U45" s="196">
        <v>5</v>
      </c>
      <c r="V45" s="196">
        <v>6</v>
      </c>
      <c r="W45" s="196">
        <v>7</v>
      </c>
      <c r="X45" s="196">
        <v>8</v>
      </c>
      <c r="Y45" s="196">
        <v>9</v>
      </c>
      <c r="Z45" s="196">
        <v>10</v>
      </c>
      <c r="AA45" s="196">
        <v>11</v>
      </c>
      <c r="AB45" s="196">
        <v>12</v>
      </c>
      <c r="AC45" s="196">
        <v>13</v>
      </c>
      <c r="AD45" s="196">
        <v>14</v>
      </c>
      <c r="AE45" s="196">
        <v>15</v>
      </c>
      <c r="AF45" s="196">
        <v>16</v>
      </c>
      <c r="AG45" s="196">
        <v>17</v>
      </c>
      <c r="AH45" s="196">
        <v>18</v>
      </c>
      <c r="AI45" s="196">
        <v>19</v>
      </c>
      <c r="AJ45" s="196">
        <v>20</v>
      </c>
      <c r="AL45" s="196">
        <v>1</v>
      </c>
      <c r="AM45" s="196">
        <v>2</v>
      </c>
      <c r="AN45" s="196">
        <v>3</v>
      </c>
      <c r="AO45" s="196">
        <v>4</v>
      </c>
      <c r="AP45" s="196">
        <v>5</v>
      </c>
      <c r="AQ45" s="196">
        <v>6</v>
      </c>
      <c r="AR45" s="196">
        <v>7</v>
      </c>
      <c r="AS45" s="196">
        <v>8</v>
      </c>
      <c r="AT45" s="196">
        <v>9</v>
      </c>
      <c r="AU45" s="196">
        <v>10</v>
      </c>
      <c r="AV45" s="196">
        <v>11</v>
      </c>
      <c r="AW45" s="196">
        <v>12</v>
      </c>
      <c r="AX45" s="196">
        <v>13</v>
      </c>
      <c r="AY45" s="196">
        <v>14</v>
      </c>
      <c r="AZ45" s="196">
        <v>15</v>
      </c>
      <c r="BA45" s="196">
        <v>16</v>
      </c>
      <c r="BB45" s="196">
        <v>17</v>
      </c>
      <c r="BC45" s="196">
        <v>18</v>
      </c>
      <c r="BD45" s="196">
        <v>19</v>
      </c>
      <c r="BE45" s="196">
        <v>20</v>
      </c>
    </row>
    <row r="46" spans="1:57" s="90" customFormat="1" ht="30" x14ac:dyDescent="0.25">
      <c r="A46" s="171" t="b">
        <f ca="1">AND(OFFSET(A47,0,0,CurrentYearsToRetirement+1,1))</f>
        <v>1</v>
      </c>
      <c r="B46" s="171" t="b">
        <f ca="1">AND(OFFSET(B47,0,0,CurrentYearsToRetirement+1,1))</f>
        <v>1</v>
      </c>
      <c r="C46" s="89"/>
      <c r="E46" s="125" t="s">
        <v>0</v>
      </c>
      <c r="F46" s="173" t="s">
        <v>59</v>
      </c>
      <c r="G46" s="173" t="s">
        <v>3</v>
      </c>
      <c r="H46" s="173" t="s">
        <v>388</v>
      </c>
      <c r="J46" s="173" t="s">
        <v>78</v>
      </c>
      <c r="K46" s="91"/>
      <c r="L46" s="199" t="s">
        <v>149</v>
      </c>
      <c r="M46" s="199" t="s">
        <v>152</v>
      </c>
      <c r="N46" s="91"/>
      <c r="O46" s="91"/>
      <c r="Q46" s="176" t="str">
        <f>IF(Q45&lt;=NumberOfAssets,INDEX(tblAssetMenuSpecs[Asset name],Q45),"")</f>
        <v>Cash</v>
      </c>
      <c r="R46" s="176" t="str">
        <f>IF(R45&lt;=NumberOfAssets,INDEX(tblAssetMenuSpecs[Asset name],R45),"")</f>
        <v/>
      </c>
      <c r="S46" s="176" t="str">
        <f>IF(S45&lt;=NumberOfAssets,INDEX(tblAssetMenuSpecs[Asset name],S45),"")</f>
        <v/>
      </c>
      <c r="T46" s="176" t="str">
        <f>IF(T45&lt;=NumberOfAssets,INDEX(tblAssetMenuSpecs[Asset name],T45),"")</f>
        <v/>
      </c>
      <c r="U46" s="176" t="str">
        <f>IF(U45&lt;=NumberOfAssets,INDEX(tblAssetMenuSpecs[Asset name],U45),"")</f>
        <v/>
      </c>
      <c r="V46" s="176" t="str">
        <f>IF(V45&lt;=NumberOfAssets,INDEX(tblAssetMenuSpecs[Asset name],V45),"")</f>
        <v/>
      </c>
      <c r="W46" s="176" t="str">
        <f>IF(W45&lt;=NumberOfAssets,INDEX(tblAssetMenuSpecs[Asset name],W45),"")</f>
        <v/>
      </c>
      <c r="X46" s="176" t="str">
        <f>IF(X45&lt;=NumberOfAssets,INDEX(tblAssetMenuSpecs[Asset name],X45),"")</f>
        <v/>
      </c>
      <c r="Y46" s="176" t="str">
        <f>IF(Y45&lt;=NumberOfAssets,INDEX(tblAssetMenuSpecs[Asset name],Y45),"")</f>
        <v/>
      </c>
      <c r="Z46" s="176" t="str">
        <f>IF(Z45&lt;=NumberOfAssets,INDEX(tblAssetMenuSpecs[Asset name],Z45),"")</f>
        <v/>
      </c>
      <c r="AA46" s="176" t="str">
        <f>IF(AA45&lt;=NumberOfAssets,INDEX(tblAssetMenuSpecs[Asset name],AA45),"")</f>
        <v/>
      </c>
      <c r="AB46" s="176" t="str">
        <f>IF(AB45&lt;=NumberOfAssets,INDEX(tblAssetMenuSpecs[Asset name],AB45),"")</f>
        <v/>
      </c>
      <c r="AC46" s="176" t="str">
        <f>IF(AC45&lt;=NumberOfAssets,INDEX(tblAssetMenuSpecs[Asset name],AC45),"")</f>
        <v/>
      </c>
      <c r="AD46" s="176" t="str">
        <f>IF(AD45&lt;=NumberOfAssets,INDEX(tblAssetMenuSpecs[Asset name],AD45),"")</f>
        <v/>
      </c>
      <c r="AE46" s="176" t="str">
        <f>IF(AE45&lt;=NumberOfAssets,INDEX(tblAssetMenuSpecs[Asset name],AE45),"")</f>
        <v/>
      </c>
      <c r="AF46" s="176" t="str">
        <f>IF(AF45&lt;=NumberOfAssets,INDEX(tblAssetMenuSpecs[Asset name],AF45),"")</f>
        <v/>
      </c>
      <c r="AG46" s="176" t="str">
        <f>IF(AG45&lt;=NumberOfAssets,INDEX(tblAssetMenuSpecs[Asset name],AG45),"")</f>
        <v/>
      </c>
      <c r="AH46" s="176" t="str">
        <f>IF(AH45&lt;=NumberOfAssets,INDEX(tblAssetMenuSpecs[Asset name],AH45),"")</f>
        <v/>
      </c>
      <c r="AI46" s="176" t="str">
        <f>IF(AI45&lt;=NumberOfAssets,INDEX(tblAssetMenuSpecs[Asset name],AI45),"")</f>
        <v/>
      </c>
      <c r="AJ46" s="176" t="str">
        <f>IF(AJ45&lt;=NumberOfAssets,INDEX(tblAssetMenuSpecs[Asset name],AJ45),"")</f>
        <v/>
      </c>
      <c r="AK46" s="172"/>
      <c r="AL46" s="176" t="str">
        <f>IF(AL45&lt;=NumberOfAssets,INDEX(tblAssetMenuSpecs[Asset name],AL45),"")</f>
        <v>Cash</v>
      </c>
      <c r="AM46" s="176" t="str">
        <f>IF(AM45&lt;=NumberOfAssets,INDEX(tblAssetMenuSpecs[Asset name],AM45),"")</f>
        <v/>
      </c>
      <c r="AN46" s="176" t="str">
        <f>IF(AN45&lt;=NumberOfAssets,INDEX(tblAssetMenuSpecs[Asset name],AN45),"")</f>
        <v/>
      </c>
      <c r="AO46" s="176" t="str">
        <f>IF(AO45&lt;=NumberOfAssets,INDEX(tblAssetMenuSpecs[Asset name],AO45),"")</f>
        <v/>
      </c>
      <c r="AP46" s="176" t="str">
        <f>IF(AP45&lt;=NumberOfAssets,INDEX(tblAssetMenuSpecs[Asset name],AP45),"")</f>
        <v/>
      </c>
      <c r="AQ46" s="176" t="str">
        <f>IF(AQ45&lt;=NumberOfAssets,INDEX(tblAssetMenuSpecs[Asset name],AQ45),"")</f>
        <v/>
      </c>
      <c r="AR46" s="176" t="str">
        <f>IF(AR45&lt;=NumberOfAssets,INDEX(tblAssetMenuSpecs[Asset name],AR45),"")</f>
        <v/>
      </c>
      <c r="AS46" s="176" t="str">
        <f>IF(AS45&lt;=NumberOfAssets,INDEX(tblAssetMenuSpecs[Asset name],AS45),"")</f>
        <v/>
      </c>
      <c r="AT46" s="176" t="str">
        <f>IF(AT45&lt;=NumberOfAssets,INDEX(tblAssetMenuSpecs[Asset name],AT45),"")</f>
        <v/>
      </c>
      <c r="AU46" s="176" t="str">
        <f>IF(AU45&lt;=NumberOfAssets,INDEX(tblAssetMenuSpecs[Asset name],AU45),"")</f>
        <v/>
      </c>
      <c r="AV46" s="176" t="str">
        <f>IF(AV45&lt;=NumberOfAssets,INDEX(tblAssetMenuSpecs[Asset name],AV45),"")</f>
        <v/>
      </c>
      <c r="AW46" s="176" t="str">
        <f>IF(AW45&lt;=NumberOfAssets,INDEX(tblAssetMenuSpecs[Asset name],AW45),"")</f>
        <v/>
      </c>
      <c r="AX46" s="176" t="str">
        <f>IF(AX45&lt;=NumberOfAssets,INDEX(tblAssetMenuSpecs[Asset name],AX45),"")</f>
        <v/>
      </c>
      <c r="AY46" s="176" t="str">
        <f>IF(AY45&lt;=NumberOfAssets,INDEX(tblAssetMenuSpecs[Asset name],AY45),"")</f>
        <v/>
      </c>
      <c r="AZ46" s="176" t="str">
        <f>IF(AZ45&lt;=NumberOfAssets,INDEX(tblAssetMenuSpecs[Asset name],AZ45),"")</f>
        <v/>
      </c>
      <c r="BA46" s="176" t="str">
        <f>IF(BA45&lt;=NumberOfAssets,INDEX(tblAssetMenuSpecs[Asset name],BA45),"")</f>
        <v/>
      </c>
      <c r="BB46" s="176" t="str">
        <f>IF(BB45&lt;=NumberOfAssets,INDEX(tblAssetMenuSpecs[Asset name],BB45),"")</f>
        <v/>
      </c>
      <c r="BC46" s="176" t="str">
        <f>IF(BC45&lt;=NumberOfAssets,INDEX(tblAssetMenuSpecs[Asset name],BC45),"")</f>
        <v/>
      </c>
      <c r="BD46" s="176" t="str">
        <f>IF(BD45&lt;=NumberOfAssets,INDEX(tblAssetMenuSpecs[Asset name],BD45),"")</f>
        <v/>
      </c>
      <c r="BE46" s="176" t="str">
        <f>IF(BE45&lt;=NumberOfAssets,INDEX(tblAssetMenuSpecs[Asset name],BE45),"")</f>
        <v/>
      </c>
    </row>
    <row r="47" spans="1:57" s="90" customFormat="1" ht="15" customHeight="1" x14ac:dyDescent="0.25">
      <c r="A47" s="177" t="b">
        <f t="array" ref="A47:A147">MMULT(AssetWeightsBaseline,TRANSPOSE(1*($Q$45:$AJ$45&lt;=NumberOfAssets)))=1</f>
        <v>1</v>
      </c>
      <c r="B47" s="178" t="b">
        <f t="array" ref="B47:B147">MMULT(AssetWeightsAdverse,TRANSPOSE(1*($Q$45:$AJ$45&lt;=NumberOfAssets)))=1</f>
        <v>1</v>
      </c>
      <c r="C47" s="179" t="e">
        <f t="shared" ref="C47:C78" si="0">INDEX(CareerWageGrowthData,MATCH(MIN(F47, MAX(CareerAge)),CareerAge,0),MATCH(CountryAbbrev,CareerCountries,0))</f>
        <v>#N/A</v>
      </c>
      <c r="E47" s="180">
        <v>2018</v>
      </c>
      <c r="F47" s="100">
        <f>$J$14</f>
        <v>47</v>
      </c>
      <c r="G47" s="181">
        <f t="shared" ref="G47:G78" si="1">Pension_age-F47</f>
        <v>20</v>
      </c>
      <c r="H47" s="181">
        <f>Wage</f>
        <v>35000</v>
      </c>
      <c r="J47" s="193">
        <v>0.1</v>
      </c>
      <c r="K47" s="101"/>
      <c r="L47" s="183" t="e">
        <f t="shared" ref="L47:L78" si="2">IF($M47="",$C47,$M47)</f>
        <v>#N/A</v>
      </c>
      <c r="M47" s="88"/>
      <c r="N47" s="91"/>
      <c r="O47" s="91"/>
      <c r="P47" s="90">
        <v>0</v>
      </c>
      <c r="Q47" s="87">
        <v>1</v>
      </c>
      <c r="R47" s="87">
        <v>0.1419</v>
      </c>
      <c r="S47" s="87">
        <v>0.12468000000000001</v>
      </c>
      <c r="T47" s="87">
        <v>0.19632000000000002</v>
      </c>
      <c r="U47" s="87">
        <v>5.5880000000000006E-2</v>
      </c>
      <c r="V47" s="193">
        <v>0</v>
      </c>
      <c r="W47" s="193">
        <v>0</v>
      </c>
      <c r="X47" s="193">
        <v>0</v>
      </c>
      <c r="Y47" s="193">
        <v>0</v>
      </c>
      <c r="Z47" s="193">
        <v>0</v>
      </c>
      <c r="AA47" s="193">
        <v>0</v>
      </c>
      <c r="AB47" s="193">
        <v>0</v>
      </c>
      <c r="AC47" s="193">
        <v>0</v>
      </c>
      <c r="AD47" s="193">
        <v>0</v>
      </c>
      <c r="AE47" s="193">
        <v>0</v>
      </c>
      <c r="AF47" s="193">
        <v>0</v>
      </c>
      <c r="AG47" s="193">
        <v>0</v>
      </c>
      <c r="AH47" s="193">
        <v>0</v>
      </c>
      <c r="AI47" s="193">
        <v>0</v>
      </c>
      <c r="AJ47" s="193">
        <v>0</v>
      </c>
      <c r="AL47" s="186">
        <f t="shared" ref="AL47:BE47" si="3">Q47</f>
        <v>1</v>
      </c>
      <c r="AM47" s="186">
        <f t="shared" si="3"/>
        <v>0.1419</v>
      </c>
      <c r="AN47" s="186">
        <f t="shared" si="3"/>
        <v>0.12468000000000001</v>
      </c>
      <c r="AO47" s="186">
        <f t="shared" si="3"/>
        <v>0.19632000000000002</v>
      </c>
      <c r="AP47" s="186">
        <f t="shared" si="3"/>
        <v>5.5880000000000006E-2</v>
      </c>
      <c r="AQ47" s="186">
        <f t="shared" si="3"/>
        <v>0</v>
      </c>
      <c r="AR47" s="186">
        <f t="shared" si="3"/>
        <v>0</v>
      </c>
      <c r="AS47" s="186">
        <f t="shared" si="3"/>
        <v>0</v>
      </c>
      <c r="AT47" s="186">
        <f t="shared" si="3"/>
        <v>0</v>
      </c>
      <c r="AU47" s="186">
        <f t="shared" si="3"/>
        <v>0</v>
      </c>
      <c r="AV47" s="186">
        <f t="shared" si="3"/>
        <v>0</v>
      </c>
      <c r="AW47" s="186">
        <f t="shared" si="3"/>
        <v>0</v>
      </c>
      <c r="AX47" s="186">
        <f t="shared" si="3"/>
        <v>0</v>
      </c>
      <c r="AY47" s="186">
        <f t="shared" si="3"/>
        <v>0</v>
      </c>
      <c r="AZ47" s="186">
        <f t="shared" si="3"/>
        <v>0</v>
      </c>
      <c r="BA47" s="186">
        <f t="shared" si="3"/>
        <v>0</v>
      </c>
      <c r="BB47" s="186">
        <f t="shared" si="3"/>
        <v>0</v>
      </c>
      <c r="BC47" s="186">
        <f t="shared" si="3"/>
        <v>0</v>
      </c>
      <c r="BD47" s="186">
        <f t="shared" si="3"/>
        <v>0</v>
      </c>
      <c r="BE47" s="186">
        <f t="shared" si="3"/>
        <v>0</v>
      </c>
    </row>
    <row r="48" spans="1:57" s="90" customFormat="1" ht="15" customHeight="1" x14ac:dyDescent="0.25">
      <c r="A48" s="187" t="b">
        <v>1</v>
      </c>
      <c r="B48" s="188" t="b">
        <v>1</v>
      </c>
      <c r="C48" s="179" t="e">
        <f t="shared" si="0"/>
        <v>#N/A</v>
      </c>
      <c r="E48" s="180">
        <v>2019</v>
      </c>
      <c r="F48" s="100">
        <f>F47+1</f>
        <v>48</v>
      </c>
      <c r="G48" s="181">
        <f t="shared" si="1"/>
        <v>19</v>
      </c>
      <c r="H48" s="181" t="e">
        <f t="shared" ref="H48:H79" si="4">H47*(1+L48)*(1+Projection_real_wage_growth)</f>
        <v>#N/A</v>
      </c>
      <c r="J48" s="193">
        <v>0.1</v>
      </c>
      <c r="K48" s="101"/>
      <c r="L48" s="183" t="e">
        <f t="shared" si="2"/>
        <v>#N/A</v>
      </c>
      <c r="M48" s="88"/>
      <c r="N48" s="91"/>
      <c r="O48" s="91"/>
      <c r="P48" s="90">
        <v>0</v>
      </c>
      <c r="Q48" s="87">
        <v>1</v>
      </c>
      <c r="R48" s="87">
        <v>0.1419</v>
      </c>
      <c r="S48" s="87">
        <v>0.12468000000000001</v>
      </c>
      <c r="T48" s="87">
        <v>0.19632000000000002</v>
      </c>
      <c r="U48" s="87">
        <v>5.5880000000000006E-2</v>
      </c>
      <c r="V48" s="193">
        <v>0</v>
      </c>
      <c r="W48" s="193">
        <v>0</v>
      </c>
      <c r="X48" s="193">
        <v>0</v>
      </c>
      <c r="Y48" s="193">
        <v>0</v>
      </c>
      <c r="Z48" s="193">
        <v>0</v>
      </c>
      <c r="AA48" s="193">
        <v>0</v>
      </c>
      <c r="AB48" s="193">
        <v>0</v>
      </c>
      <c r="AC48" s="193">
        <v>0</v>
      </c>
      <c r="AD48" s="193">
        <v>0</v>
      </c>
      <c r="AE48" s="193">
        <v>0</v>
      </c>
      <c r="AF48" s="193">
        <v>0</v>
      </c>
      <c r="AG48" s="193">
        <v>0</v>
      </c>
      <c r="AH48" s="193">
        <v>0</v>
      </c>
      <c r="AI48" s="193">
        <v>0</v>
      </c>
      <c r="AJ48" s="193">
        <v>0</v>
      </c>
      <c r="AL48" s="87">
        <f t="shared" ref="AL48:AL79" si="5">Q48</f>
        <v>1</v>
      </c>
      <c r="AM48" s="87">
        <f t="shared" ref="AM48:AM79" si="6">R48</f>
        <v>0.1419</v>
      </c>
      <c r="AN48" s="87">
        <f t="shared" ref="AN48:AN79" si="7">S48</f>
        <v>0.12468000000000001</v>
      </c>
      <c r="AO48" s="87">
        <f t="shared" ref="AO48:AO79" si="8">T48</f>
        <v>0.19632000000000002</v>
      </c>
      <c r="AP48" s="87">
        <f t="shared" ref="AP48:AP79" si="9">U48</f>
        <v>5.5880000000000006E-2</v>
      </c>
      <c r="AQ48" s="87">
        <f t="shared" ref="AQ48:AQ79" si="10">V48</f>
        <v>0</v>
      </c>
      <c r="AR48" s="87">
        <f t="shared" ref="AR48:AR79" si="11">W48</f>
        <v>0</v>
      </c>
      <c r="AS48" s="87">
        <f t="shared" ref="AS48:AS79" si="12">X48</f>
        <v>0</v>
      </c>
      <c r="AT48" s="87">
        <f t="shared" ref="AT48:AT79" si="13">Y48</f>
        <v>0</v>
      </c>
      <c r="AU48" s="87">
        <f t="shared" ref="AU48:AU79" si="14">Z48</f>
        <v>0</v>
      </c>
      <c r="AV48" s="87">
        <f t="shared" ref="AV48:AV79" si="15">AA48</f>
        <v>0</v>
      </c>
      <c r="AW48" s="87">
        <f t="shared" ref="AW48:AW79" si="16">AB48</f>
        <v>0</v>
      </c>
      <c r="AX48" s="87">
        <f t="shared" ref="AX48:AX79" si="17">AC48</f>
        <v>0</v>
      </c>
      <c r="AY48" s="87">
        <f t="shared" ref="AY48:AY79" si="18">AD48</f>
        <v>0</v>
      </c>
      <c r="AZ48" s="87">
        <f t="shared" ref="AZ48:AZ79" si="19">AE48</f>
        <v>0</v>
      </c>
      <c r="BA48" s="87">
        <f t="shared" ref="BA48:BA79" si="20">AF48</f>
        <v>0</v>
      </c>
      <c r="BB48" s="87">
        <f t="shared" ref="BB48:BB79" si="21">AG48</f>
        <v>0</v>
      </c>
      <c r="BC48" s="87">
        <f t="shared" ref="BC48:BC79" si="22">AH48</f>
        <v>0</v>
      </c>
      <c r="BD48" s="87">
        <f t="shared" ref="BD48:BD111" si="23">AI48</f>
        <v>0</v>
      </c>
      <c r="BE48" s="87">
        <f t="shared" ref="BE48:BE111" si="24">AJ48</f>
        <v>0</v>
      </c>
    </row>
    <row r="49" spans="1:57" s="90" customFormat="1" ht="15" customHeight="1" x14ac:dyDescent="0.25">
      <c r="A49" s="187" t="b">
        <v>1</v>
      </c>
      <c r="B49" s="188" t="b">
        <v>1</v>
      </c>
      <c r="C49" s="179" t="e">
        <f t="shared" si="0"/>
        <v>#N/A</v>
      </c>
      <c r="E49" s="180">
        <v>2020</v>
      </c>
      <c r="F49" s="100">
        <f t="shared" ref="F49:F112" si="25">F48+1</f>
        <v>49</v>
      </c>
      <c r="G49" s="181">
        <f t="shared" si="1"/>
        <v>18</v>
      </c>
      <c r="H49" s="181" t="e">
        <f t="shared" si="4"/>
        <v>#N/A</v>
      </c>
      <c r="J49" s="193">
        <v>0.1</v>
      </c>
      <c r="K49" s="101"/>
      <c r="L49" s="183" t="e">
        <f t="shared" si="2"/>
        <v>#N/A</v>
      </c>
      <c r="M49" s="88"/>
      <c r="N49" s="91"/>
      <c r="O49" s="91"/>
      <c r="P49" s="90">
        <v>0</v>
      </c>
      <c r="Q49" s="87">
        <v>1</v>
      </c>
      <c r="R49" s="87">
        <v>0.1419</v>
      </c>
      <c r="S49" s="87">
        <v>0.12468000000000001</v>
      </c>
      <c r="T49" s="87">
        <v>0.19632000000000002</v>
      </c>
      <c r="U49" s="87">
        <v>5.5880000000000006E-2</v>
      </c>
      <c r="V49" s="193">
        <v>0</v>
      </c>
      <c r="W49" s="193">
        <v>0</v>
      </c>
      <c r="X49" s="193">
        <v>0</v>
      </c>
      <c r="Y49" s="193">
        <v>0</v>
      </c>
      <c r="Z49" s="193">
        <v>0</v>
      </c>
      <c r="AA49" s="193">
        <v>0</v>
      </c>
      <c r="AB49" s="193">
        <v>0</v>
      </c>
      <c r="AC49" s="193">
        <v>0</v>
      </c>
      <c r="AD49" s="193">
        <v>0</v>
      </c>
      <c r="AE49" s="193">
        <v>0</v>
      </c>
      <c r="AF49" s="193">
        <v>0</v>
      </c>
      <c r="AG49" s="193">
        <v>0</v>
      </c>
      <c r="AH49" s="193">
        <v>0</v>
      </c>
      <c r="AI49" s="193">
        <v>0</v>
      </c>
      <c r="AJ49" s="193">
        <v>0</v>
      </c>
      <c r="AL49" s="87">
        <f t="shared" si="5"/>
        <v>1</v>
      </c>
      <c r="AM49" s="87">
        <f t="shared" si="6"/>
        <v>0.1419</v>
      </c>
      <c r="AN49" s="87">
        <f t="shared" si="7"/>
        <v>0.12468000000000001</v>
      </c>
      <c r="AO49" s="87">
        <f t="shared" si="8"/>
        <v>0.19632000000000002</v>
      </c>
      <c r="AP49" s="87">
        <f t="shared" si="9"/>
        <v>5.5880000000000006E-2</v>
      </c>
      <c r="AQ49" s="87">
        <f t="shared" si="10"/>
        <v>0</v>
      </c>
      <c r="AR49" s="87">
        <f t="shared" si="11"/>
        <v>0</v>
      </c>
      <c r="AS49" s="87">
        <f t="shared" si="12"/>
        <v>0</v>
      </c>
      <c r="AT49" s="87">
        <f t="shared" si="13"/>
        <v>0</v>
      </c>
      <c r="AU49" s="87">
        <f t="shared" si="14"/>
        <v>0</v>
      </c>
      <c r="AV49" s="87">
        <f t="shared" si="15"/>
        <v>0</v>
      </c>
      <c r="AW49" s="87">
        <f t="shared" si="16"/>
        <v>0</v>
      </c>
      <c r="AX49" s="87">
        <f t="shared" si="17"/>
        <v>0</v>
      </c>
      <c r="AY49" s="87">
        <f t="shared" si="18"/>
        <v>0</v>
      </c>
      <c r="AZ49" s="87">
        <f t="shared" si="19"/>
        <v>0</v>
      </c>
      <c r="BA49" s="87">
        <f t="shared" si="20"/>
        <v>0</v>
      </c>
      <c r="BB49" s="87">
        <f t="shared" si="21"/>
        <v>0</v>
      </c>
      <c r="BC49" s="87">
        <f t="shared" si="22"/>
        <v>0</v>
      </c>
      <c r="BD49" s="87">
        <f t="shared" si="23"/>
        <v>0</v>
      </c>
      <c r="BE49" s="87">
        <f t="shared" si="24"/>
        <v>0</v>
      </c>
    </row>
    <row r="50" spans="1:57" s="90" customFormat="1" ht="15" customHeight="1" x14ac:dyDescent="0.25">
      <c r="A50" s="187" t="b">
        <v>1</v>
      </c>
      <c r="B50" s="188" t="b">
        <v>1</v>
      </c>
      <c r="C50" s="179" t="e">
        <f t="shared" si="0"/>
        <v>#N/A</v>
      </c>
      <c r="E50" s="180">
        <v>2021</v>
      </c>
      <c r="F50" s="100">
        <f t="shared" si="25"/>
        <v>50</v>
      </c>
      <c r="G50" s="181">
        <f t="shared" si="1"/>
        <v>17</v>
      </c>
      <c r="H50" s="181" t="e">
        <f t="shared" si="4"/>
        <v>#N/A</v>
      </c>
      <c r="J50" s="193">
        <v>0.1</v>
      </c>
      <c r="K50" s="101"/>
      <c r="L50" s="183" t="e">
        <f t="shared" si="2"/>
        <v>#N/A</v>
      </c>
      <c r="M50" s="88"/>
      <c r="N50" s="91"/>
      <c r="O50" s="91"/>
      <c r="P50" s="90">
        <v>0</v>
      </c>
      <c r="Q50" s="87">
        <v>1</v>
      </c>
      <c r="R50" s="87">
        <v>0.1419</v>
      </c>
      <c r="S50" s="87">
        <v>0.12468000000000001</v>
      </c>
      <c r="T50" s="87">
        <v>0.19632000000000002</v>
      </c>
      <c r="U50" s="87">
        <v>5.5880000000000006E-2</v>
      </c>
      <c r="V50" s="193">
        <v>0</v>
      </c>
      <c r="W50" s="193">
        <v>0</v>
      </c>
      <c r="X50" s="193">
        <v>0</v>
      </c>
      <c r="Y50" s="193">
        <v>0</v>
      </c>
      <c r="Z50" s="193">
        <v>0</v>
      </c>
      <c r="AA50" s="193">
        <v>0</v>
      </c>
      <c r="AB50" s="193">
        <v>0</v>
      </c>
      <c r="AC50" s="193">
        <v>0</v>
      </c>
      <c r="AD50" s="193">
        <v>0</v>
      </c>
      <c r="AE50" s="193">
        <v>0</v>
      </c>
      <c r="AF50" s="193">
        <v>0</v>
      </c>
      <c r="AG50" s="193">
        <v>0</v>
      </c>
      <c r="AH50" s="193">
        <v>0</v>
      </c>
      <c r="AI50" s="193">
        <v>0</v>
      </c>
      <c r="AJ50" s="193">
        <v>0</v>
      </c>
      <c r="AL50" s="87">
        <f t="shared" si="5"/>
        <v>1</v>
      </c>
      <c r="AM50" s="87">
        <f t="shared" si="6"/>
        <v>0.1419</v>
      </c>
      <c r="AN50" s="87">
        <f t="shared" si="7"/>
        <v>0.12468000000000001</v>
      </c>
      <c r="AO50" s="87">
        <f t="shared" si="8"/>
        <v>0.19632000000000002</v>
      </c>
      <c r="AP50" s="87">
        <f t="shared" si="9"/>
        <v>5.5880000000000006E-2</v>
      </c>
      <c r="AQ50" s="87">
        <f t="shared" si="10"/>
        <v>0</v>
      </c>
      <c r="AR50" s="87">
        <f t="shared" si="11"/>
        <v>0</v>
      </c>
      <c r="AS50" s="87">
        <f t="shared" si="12"/>
        <v>0</v>
      </c>
      <c r="AT50" s="87">
        <f t="shared" si="13"/>
        <v>0</v>
      </c>
      <c r="AU50" s="87">
        <f t="shared" si="14"/>
        <v>0</v>
      </c>
      <c r="AV50" s="87">
        <f t="shared" si="15"/>
        <v>0</v>
      </c>
      <c r="AW50" s="87">
        <f t="shared" si="16"/>
        <v>0</v>
      </c>
      <c r="AX50" s="87">
        <f t="shared" si="17"/>
        <v>0</v>
      </c>
      <c r="AY50" s="87">
        <f t="shared" si="18"/>
        <v>0</v>
      </c>
      <c r="AZ50" s="87">
        <f t="shared" si="19"/>
        <v>0</v>
      </c>
      <c r="BA50" s="87">
        <f t="shared" si="20"/>
        <v>0</v>
      </c>
      <c r="BB50" s="87">
        <f t="shared" si="21"/>
        <v>0</v>
      </c>
      <c r="BC50" s="87">
        <f t="shared" si="22"/>
        <v>0</v>
      </c>
      <c r="BD50" s="87">
        <f t="shared" si="23"/>
        <v>0</v>
      </c>
      <c r="BE50" s="87">
        <f t="shared" si="24"/>
        <v>0</v>
      </c>
    </row>
    <row r="51" spans="1:57" s="90" customFormat="1" ht="15" customHeight="1" x14ac:dyDescent="0.25">
      <c r="A51" s="187" t="b">
        <v>1</v>
      </c>
      <c r="B51" s="188" t="b">
        <v>1</v>
      </c>
      <c r="C51" s="179" t="e">
        <f t="shared" si="0"/>
        <v>#N/A</v>
      </c>
      <c r="E51" s="180">
        <v>2022</v>
      </c>
      <c r="F51" s="100">
        <f t="shared" si="25"/>
        <v>51</v>
      </c>
      <c r="G51" s="181">
        <f t="shared" si="1"/>
        <v>16</v>
      </c>
      <c r="H51" s="181" t="e">
        <f t="shared" si="4"/>
        <v>#N/A</v>
      </c>
      <c r="J51" s="193">
        <v>0.1</v>
      </c>
      <c r="K51" s="101"/>
      <c r="L51" s="183" t="e">
        <f t="shared" si="2"/>
        <v>#N/A</v>
      </c>
      <c r="M51" s="88"/>
      <c r="N51" s="91"/>
      <c r="O51" s="91"/>
      <c r="P51" s="90">
        <v>0</v>
      </c>
      <c r="Q51" s="87">
        <v>1</v>
      </c>
      <c r="R51" s="87">
        <v>0.1419</v>
      </c>
      <c r="S51" s="87">
        <v>0.12468000000000001</v>
      </c>
      <c r="T51" s="87">
        <v>0.19632000000000002</v>
      </c>
      <c r="U51" s="87">
        <v>5.5880000000000006E-2</v>
      </c>
      <c r="V51" s="193">
        <v>0</v>
      </c>
      <c r="W51" s="193">
        <v>0</v>
      </c>
      <c r="X51" s="193">
        <v>0</v>
      </c>
      <c r="Y51" s="193">
        <v>0</v>
      </c>
      <c r="Z51" s="193">
        <v>0</v>
      </c>
      <c r="AA51" s="193">
        <v>0</v>
      </c>
      <c r="AB51" s="193">
        <v>0</v>
      </c>
      <c r="AC51" s="193">
        <v>0</v>
      </c>
      <c r="AD51" s="193">
        <v>0</v>
      </c>
      <c r="AE51" s="193">
        <v>0</v>
      </c>
      <c r="AF51" s="193">
        <v>0</v>
      </c>
      <c r="AG51" s="193">
        <v>0</v>
      </c>
      <c r="AH51" s="193">
        <v>0</v>
      </c>
      <c r="AI51" s="193">
        <v>0</v>
      </c>
      <c r="AJ51" s="193">
        <v>0</v>
      </c>
      <c r="AL51" s="87">
        <f t="shared" si="5"/>
        <v>1</v>
      </c>
      <c r="AM51" s="87">
        <f t="shared" si="6"/>
        <v>0.1419</v>
      </c>
      <c r="AN51" s="87">
        <f t="shared" si="7"/>
        <v>0.12468000000000001</v>
      </c>
      <c r="AO51" s="87">
        <f t="shared" si="8"/>
        <v>0.19632000000000002</v>
      </c>
      <c r="AP51" s="87">
        <f t="shared" si="9"/>
        <v>5.5880000000000006E-2</v>
      </c>
      <c r="AQ51" s="87">
        <f t="shared" si="10"/>
        <v>0</v>
      </c>
      <c r="AR51" s="87">
        <f t="shared" si="11"/>
        <v>0</v>
      </c>
      <c r="AS51" s="87">
        <f t="shared" si="12"/>
        <v>0</v>
      </c>
      <c r="AT51" s="87">
        <f t="shared" si="13"/>
        <v>0</v>
      </c>
      <c r="AU51" s="87">
        <f t="shared" si="14"/>
        <v>0</v>
      </c>
      <c r="AV51" s="87">
        <f t="shared" si="15"/>
        <v>0</v>
      </c>
      <c r="AW51" s="87">
        <f t="shared" si="16"/>
        <v>0</v>
      </c>
      <c r="AX51" s="87">
        <f t="shared" si="17"/>
        <v>0</v>
      </c>
      <c r="AY51" s="87">
        <f t="shared" si="18"/>
        <v>0</v>
      </c>
      <c r="AZ51" s="87">
        <f t="shared" si="19"/>
        <v>0</v>
      </c>
      <c r="BA51" s="87">
        <f t="shared" si="20"/>
        <v>0</v>
      </c>
      <c r="BB51" s="87">
        <f t="shared" si="21"/>
        <v>0</v>
      </c>
      <c r="BC51" s="87">
        <f t="shared" si="22"/>
        <v>0</v>
      </c>
      <c r="BD51" s="87">
        <f t="shared" si="23"/>
        <v>0</v>
      </c>
      <c r="BE51" s="87">
        <f t="shared" si="24"/>
        <v>0</v>
      </c>
    </row>
    <row r="52" spans="1:57" s="90" customFormat="1" ht="15" customHeight="1" x14ac:dyDescent="0.25">
      <c r="A52" s="187" t="b">
        <v>1</v>
      </c>
      <c r="B52" s="188" t="b">
        <v>1</v>
      </c>
      <c r="C52" s="179" t="e">
        <f t="shared" si="0"/>
        <v>#N/A</v>
      </c>
      <c r="E52" s="180">
        <v>2023</v>
      </c>
      <c r="F52" s="100">
        <f t="shared" si="25"/>
        <v>52</v>
      </c>
      <c r="G52" s="181">
        <f t="shared" si="1"/>
        <v>15</v>
      </c>
      <c r="H52" s="181" t="e">
        <f t="shared" si="4"/>
        <v>#N/A</v>
      </c>
      <c r="J52" s="193">
        <v>0.1</v>
      </c>
      <c r="K52" s="101"/>
      <c r="L52" s="183" t="e">
        <f t="shared" si="2"/>
        <v>#N/A</v>
      </c>
      <c r="M52" s="88"/>
      <c r="N52" s="91"/>
      <c r="O52" s="91"/>
      <c r="P52" s="90">
        <v>0</v>
      </c>
      <c r="Q52" s="87">
        <v>1</v>
      </c>
      <c r="R52" s="87">
        <v>0.1419</v>
      </c>
      <c r="S52" s="87">
        <v>0.12468000000000001</v>
      </c>
      <c r="T52" s="87">
        <v>0.19632000000000002</v>
      </c>
      <c r="U52" s="87">
        <v>5.5880000000000006E-2</v>
      </c>
      <c r="V52" s="193">
        <v>0</v>
      </c>
      <c r="W52" s="193">
        <v>0</v>
      </c>
      <c r="X52" s="193">
        <v>0</v>
      </c>
      <c r="Y52" s="193">
        <v>0</v>
      </c>
      <c r="Z52" s="193">
        <v>0</v>
      </c>
      <c r="AA52" s="193">
        <v>0</v>
      </c>
      <c r="AB52" s="193">
        <v>0</v>
      </c>
      <c r="AC52" s="193">
        <v>0</v>
      </c>
      <c r="AD52" s="193">
        <v>0</v>
      </c>
      <c r="AE52" s="193">
        <v>0</v>
      </c>
      <c r="AF52" s="193">
        <v>0</v>
      </c>
      <c r="AG52" s="193">
        <v>0</v>
      </c>
      <c r="AH52" s="193">
        <v>0</v>
      </c>
      <c r="AI52" s="193">
        <v>0</v>
      </c>
      <c r="AJ52" s="193">
        <v>0</v>
      </c>
      <c r="AL52" s="87">
        <f t="shared" si="5"/>
        <v>1</v>
      </c>
      <c r="AM52" s="87">
        <f t="shared" si="6"/>
        <v>0.1419</v>
      </c>
      <c r="AN52" s="87">
        <f t="shared" si="7"/>
        <v>0.12468000000000001</v>
      </c>
      <c r="AO52" s="87">
        <f t="shared" si="8"/>
        <v>0.19632000000000002</v>
      </c>
      <c r="AP52" s="87">
        <f t="shared" si="9"/>
        <v>5.5880000000000006E-2</v>
      </c>
      <c r="AQ52" s="87">
        <f t="shared" si="10"/>
        <v>0</v>
      </c>
      <c r="AR52" s="87">
        <f t="shared" si="11"/>
        <v>0</v>
      </c>
      <c r="AS52" s="87">
        <f t="shared" si="12"/>
        <v>0</v>
      </c>
      <c r="AT52" s="87">
        <f t="shared" si="13"/>
        <v>0</v>
      </c>
      <c r="AU52" s="87">
        <f t="shared" si="14"/>
        <v>0</v>
      </c>
      <c r="AV52" s="87">
        <f t="shared" si="15"/>
        <v>0</v>
      </c>
      <c r="AW52" s="87">
        <f t="shared" si="16"/>
        <v>0</v>
      </c>
      <c r="AX52" s="87">
        <f t="shared" si="17"/>
        <v>0</v>
      </c>
      <c r="AY52" s="87">
        <f t="shared" si="18"/>
        <v>0</v>
      </c>
      <c r="AZ52" s="87">
        <f t="shared" si="19"/>
        <v>0</v>
      </c>
      <c r="BA52" s="87">
        <f t="shared" si="20"/>
        <v>0</v>
      </c>
      <c r="BB52" s="87">
        <f t="shared" si="21"/>
        <v>0</v>
      </c>
      <c r="BC52" s="87">
        <f t="shared" si="22"/>
        <v>0</v>
      </c>
      <c r="BD52" s="87">
        <f t="shared" si="23"/>
        <v>0</v>
      </c>
      <c r="BE52" s="87">
        <f t="shared" si="24"/>
        <v>0</v>
      </c>
    </row>
    <row r="53" spans="1:57" s="90" customFormat="1" ht="15" customHeight="1" x14ac:dyDescent="0.25">
      <c r="A53" s="187" t="b">
        <v>1</v>
      </c>
      <c r="B53" s="188" t="b">
        <v>1</v>
      </c>
      <c r="C53" s="179" t="e">
        <f t="shared" si="0"/>
        <v>#N/A</v>
      </c>
      <c r="E53" s="180">
        <v>2024</v>
      </c>
      <c r="F53" s="100">
        <f t="shared" si="25"/>
        <v>53</v>
      </c>
      <c r="G53" s="181">
        <f t="shared" si="1"/>
        <v>14</v>
      </c>
      <c r="H53" s="181" t="e">
        <f t="shared" si="4"/>
        <v>#N/A</v>
      </c>
      <c r="J53" s="193">
        <v>0.1</v>
      </c>
      <c r="K53" s="101"/>
      <c r="L53" s="183" t="e">
        <f t="shared" si="2"/>
        <v>#N/A</v>
      </c>
      <c r="M53" s="88"/>
      <c r="N53" s="91"/>
      <c r="O53" s="91"/>
      <c r="P53" s="90">
        <v>0</v>
      </c>
      <c r="Q53" s="87">
        <v>1</v>
      </c>
      <c r="R53" s="87">
        <v>0.1419</v>
      </c>
      <c r="S53" s="87">
        <v>0.12468000000000001</v>
      </c>
      <c r="T53" s="87">
        <v>0.19632000000000002</v>
      </c>
      <c r="U53" s="87">
        <v>5.5880000000000006E-2</v>
      </c>
      <c r="V53" s="193">
        <v>0</v>
      </c>
      <c r="W53" s="193">
        <v>0</v>
      </c>
      <c r="X53" s="193">
        <v>0</v>
      </c>
      <c r="Y53" s="193">
        <v>0</v>
      </c>
      <c r="Z53" s="193">
        <v>0</v>
      </c>
      <c r="AA53" s="193">
        <v>0</v>
      </c>
      <c r="AB53" s="193">
        <v>0</v>
      </c>
      <c r="AC53" s="193">
        <v>0</v>
      </c>
      <c r="AD53" s="193">
        <v>0</v>
      </c>
      <c r="AE53" s="193">
        <v>0</v>
      </c>
      <c r="AF53" s="193">
        <v>0</v>
      </c>
      <c r="AG53" s="193">
        <v>0</v>
      </c>
      <c r="AH53" s="193">
        <v>0</v>
      </c>
      <c r="AI53" s="193">
        <v>0</v>
      </c>
      <c r="AJ53" s="193">
        <v>0</v>
      </c>
      <c r="AL53" s="87">
        <f t="shared" si="5"/>
        <v>1</v>
      </c>
      <c r="AM53" s="87">
        <f t="shared" si="6"/>
        <v>0.1419</v>
      </c>
      <c r="AN53" s="87">
        <f t="shared" si="7"/>
        <v>0.12468000000000001</v>
      </c>
      <c r="AO53" s="87">
        <f t="shared" si="8"/>
        <v>0.19632000000000002</v>
      </c>
      <c r="AP53" s="87">
        <f t="shared" si="9"/>
        <v>5.5880000000000006E-2</v>
      </c>
      <c r="AQ53" s="87">
        <f t="shared" si="10"/>
        <v>0</v>
      </c>
      <c r="AR53" s="87">
        <f t="shared" si="11"/>
        <v>0</v>
      </c>
      <c r="AS53" s="87">
        <f t="shared" si="12"/>
        <v>0</v>
      </c>
      <c r="AT53" s="87">
        <f t="shared" si="13"/>
        <v>0</v>
      </c>
      <c r="AU53" s="87">
        <f t="shared" si="14"/>
        <v>0</v>
      </c>
      <c r="AV53" s="87">
        <f t="shared" si="15"/>
        <v>0</v>
      </c>
      <c r="AW53" s="87">
        <f t="shared" si="16"/>
        <v>0</v>
      </c>
      <c r="AX53" s="87">
        <f t="shared" si="17"/>
        <v>0</v>
      </c>
      <c r="AY53" s="87">
        <f t="shared" si="18"/>
        <v>0</v>
      </c>
      <c r="AZ53" s="87">
        <f t="shared" si="19"/>
        <v>0</v>
      </c>
      <c r="BA53" s="87">
        <f t="shared" si="20"/>
        <v>0</v>
      </c>
      <c r="BB53" s="87">
        <f t="shared" si="21"/>
        <v>0</v>
      </c>
      <c r="BC53" s="87">
        <f t="shared" si="22"/>
        <v>0</v>
      </c>
      <c r="BD53" s="87">
        <f t="shared" si="23"/>
        <v>0</v>
      </c>
      <c r="BE53" s="87">
        <f t="shared" si="24"/>
        <v>0</v>
      </c>
    </row>
    <row r="54" spans="1:57" s="90" customFormat="1" ht="15" customHeight="1" x14ac:dyDescent="0.25">
      <c r="A54" s="187" t="b">
        <v>1</v>
      </c>
      <c r="B54" s="188" t="b">
        <v>1</v>
      </c>
      <c r="C54" s="179" t="e">
        <f t="shared" si="0"/>
        <v>#N/A</v>
      </c>
      <c r="E54" s="180">
        <v>2025</v>
      </c>
      <c r="F54" s="100">
        <f t="shared" si="25"/>
        <v>54</v>
      </c>
      <c r="G54" s="181">
        <f t="shared" si="1"/>
        <v>13</v>
      </c>
      <c r="H54" s="181" t="e">
        <f t="shared" si="4"/>
        <v>#N/A</v>
      </c>
      <c r="J54" s="193">
        <v>0.1</v>
      </c>
      <c r="K54" s="101"/>
      <c r="L54" s="183" t="e">
        <f t="shared" si="2"/>
        <v>#N/A</v>
      </c>
      <c r="M54" s="88"/>
      <c r="N54" s="91"/>
      <c r="O54" s="91"/>
      <c r="P54" s="90">
        <v>0</v>
      </c>
      <c r="Q54" s="87">
        <v>1</v>
      </c>
      <c r="R54" s="87">
        <v>0.1419</v>
      </c>
      <c r="S54" s="87">
        <v>0.12468000000000001</v>
      </c>
      <c r="T54" s="87">
        <v>0.19632000000000002</v>
      </c>
      <c r="U54" s="87">
        <v>5.5880000000000006E-2</v>
      </c>
      <c r="V54" s="193">
        <v>0</v>
      </c>
      <c r="W54" s="193">
        <v>0</v>
      </c>
      <c r="X54" s="193">
        <v>0</v>
      </c>
      <c r="Y54" s="193">
        <v>0</v>
      </c>
      <c r="Z54" s="193">
        <v>0</v>
      </c>
      <c r="AA54" s="193">
        <v>0</v>
      </c>
      <c r="AB54" s="193">
        <v>0</v>
      </c>
      <c r="AC54" s="193">
        <v>0</v>
      </c>
      <c r="AD54" s="193">
        <v>0</v>
      </c>
      <c r="AE54" s="193">
        <v>0</v>
      </c>
      <c r="AF54" s="193">
        <v>0</v>
      </c>
      <c r="AG54" s="193">
        <v>0</v>
      </c>
      <c r="AH54" s="193">
        <v>0</v>
      </c>
      <c r="AI54" s="193">
        <v>0</v>
      </c>
      <c r="AJ54" s="193">
        <v>0</v>
      </c>
      <c r="AL54" s="87">
        <f t="shared" si="5"/>
        <v>1</v>
      </c>
      <c r="AM54" s="87">
        <f t="shared" si="6"/>
        <v>0.1419</v>
      </c>
      <c r="AN54" s="87">
        <f t="shared" si="7"/>
        <v>0.12468000000000001</v>
      </c>
      <c r="AO54" s="87">
        <f t="shared" si="8"/>
        <v>0.19632000000000002</v>
      </c>
      <c r="AP54" s="87">
        <f t="shared" si="9"/>
        <v>5.5880000000000006E-2</v>
      </c>
      <c r="AQ54" s="87">
        <f t="shared" si="10"/>
        <v>0</v>
      </c>
      <c r="AR54" s="87">
        <f t="shared" si="11"/>
        <v>0</v>
      </c>
      <c r="AS54" s="87">
        <f t="shared" si="12"/>
        <v>0</v>
      </c>
      <c r="AT54" s="87">
        <f t="shared" si="13"/>
        <v>0</v>
      </c>
      <c r="AU54" s="87">
        <f t="shared" si="14"/>
        <v>0</v>
      </c>
      <c r="AV54" s="87">
        <f t="shared" si="15"/>
        <v>0</v>
      </c>
      <c r="AW54" s="87">
        <f t="shared" si="16"/>
        <v>0</v>
      </c>
      <c r="AX54" s="87">
        <f t="shared" si="17"/>
        <v>0</v>
      </c>
      <c r="AY54" s="87">
        <f t="shared" si="18"/>
        <v>0</v>
      </c>
      <c r="AZ54" s="87">
        <f t="shared" si="19"/>
        <v>0</v>
      </c>
      <c r="BA54" s="87">
        <f t="shared" si="20"/>
        <v>0</v>
      </c>
      <c r="BB54" s="87">
        <f t="shared" si="21"/>
        <v>0</v>
      </c>
      <c r="BC54" s="87">
        <f t="shared" si="22"/>
        <v>0</v>
      </c>
      <c r="BD54" s="87">
        <f t="shared" si="23"/>
        <v>0</v>
      </c>
      <c r="BE54" s="87">
        <f t="shared" si="24"/>
        <v>0</v>
      </c>
    </row>
    <row r="55" spans="1:57" s="90" customFormat="1" ht="15" customHeight="1" x14ac:dyDescent="0.25">
      <c r="A55" s="187" t="b">
        <v>1</v>
      </c>
      <c r="B55" s="188" t="b">
        <v>1</v>
      </c>
      <c r="C55" s="179" t="e">
        <f t="shared" si="0"/>
        <v>#N/A</v>
      </c>
      <c r="E55" s="180">
        <v>2026</v>
      </c>
      <c r="F55" s="100">
        <f t="shared" si="25"/>
        <v>55</v>
      </c>
      <c r="G55" s="181">
        <f t="shared" si="1"/>
        <v>12</v>
      </c>
      <c r="H55" s="181" t="e">
        <f t="shared" si="4"/>
        <v>#N/A</v>
      </c>
      <c r="J55" s="193">
        <v>0.1</v>
      </c>
      <c r="K55" s="101"/>
      <c r="L55" s="183" t="e">
        <f t="shared" si="2"/>
        <v>#N/A</v>
      </c>
      <c r="M55" s="88"/>
      <c r="N55" s="91"/>
      <c r="O55" s="91"/>
      <c r="P55" s="90">
        <v>0</v>
      </c>
      <c r="Q55" s="87">
        <v>1</v>
      </c>
      <c r="R55" s="87">
        <v>0.1419</v>
      </c>
      <c r="S55" s="87">
        <v>0.12468000000000001</v>
      </c>
      <c r="T55" s="87">
        <v>0.19632000000000002</v>
      </c>
      <c r="U55" s="87">
        <v>5.5880000000000006E-2</v>
      </c>
      <c r="V55" s="193">
        <v>0</v>
      </c>
      <c r="W55" s="193">
        <v>0</v>
      </c>
      <c r="X55" s="193">
        <v>0</v>
      </c>
      <c r="Y55" s="193">
        <v>0</v>
      </c>
      <c r="Z55" s="193">
        <v>0</v>
      </c>
      <c r="AA55" s="193">
        <v>0</v>
      </c>
      <c r="AB55" s="193">
        <v>0</v>
      </c>
      <c r="AC55" s="193">
        <v>0</v>
      </c>
      <c r="AD55" s="193">
        <v>0</v>
      </c>
      <c r="AE55" s="193">
        <v>0</v>
      </c>
      <c r="AF55" s="193">
        <v>0</v>
      </c>
      <c r="AG55" s="193">
        <v>0</v>
      </c>
      <c r="AH55" s="193">
        <v>0</v>
      </c>
      <c r="AI55" s="193">
        <v>0</v>
      </c>
      <c r="AJ55" s="193">
        <v>0</v>
      </c>
      <c r="AL55" s="87">
        <f t="shared" si="5"/>
        <v>1</v>
      </c>
      <c r="AM55" s="87">
        <f t="shared" si="6"/>
        <v>0.1419</v>
      </c>
      <c r="AN55" s="87">
        <f t="shared" si="7"/>
        <v>0.12468000000000001</v>
      </c>
      <c r="AO55" s="87">
        <f t="shared" si="8"/>
        <v>0.19632000000000002</v>
      </c>
      <c r="AP55" s="87">
        <f t="shared" si="9"/>
        <v>5.5880000000000006E-2</v>
      </c>
      <c r="AQ55" s="87">
        <f t="shared" si="10"/>
        <v>0</v>
      </c>
      <c r="AR55" s="87">
        <f t="shared" si="11"/>
        <v>0</v>
      </c>
      <c r="AS55" s="87">
        <f t="shared" si="12"/>
        <v>0</v>
      </c>
      <c r="AT55" s="87">
        <f t="shared" si="13"/>
        <v>0</v>
      </c>
      <c r="AU55" s="87">
        <f t="shared" si="14"/>
        <v>0</v>
      </c>
      <c r="AV55" s="87">
        <f t="shared" si="15"/>
        <v>0</v>
      </c>
      <c r="AW55" s="87">
        <f t="shared" si="16"/>
        <v>0</v>
      </c>
      <c r="AX55" s="87">
        <f t="shared" si="17"/>
        <v>0</v>
      </c>
      <c r="AY55" s="87">
        <f t="shared" si="18"/>
        <v>0</v>
      </c>
      <c r="AZ55" s="87">
        <f t="shared" si="19"/>
        <v>0</v>
      </c>
      <c r="BA55" s="87">
        <f t="shared" si="20"/>
        <v>0</v>
      </c>
      <c r="BB55" s="87">
        <f t="shared" si="21"/>
        <v>0</v>
      </c>
      <c r="BC55" s="87">
        <f t="shared" si="22"/>
        <v>0</v>
      </c>
      <c r="BD55" s="87">
        <f t="shared" si="23"/>
        <v>0</v>
      </c>
      <c r="BE55" s="87">
        <f t="shared" si="24"/>
        <v>0</v>
      </c>
    </row>
    <row r="56" spans="1:57" s="90" customFormat="1" ht="15" customHeight="1" x14ac:dyDescent="0.25">
      <c r="A56" s="187" t="b">
        <v>1</v>
      </c>
      <c r="B56" s="188" t="b">
        <v>1</v>
      </c>
      <c r="C56" s="179" t="e">
        <f t="shared" si="0"/>
        <v>#N/A</v>
      </c>
      <c r="E56" s="180">
        <v>2027</v>
      </c>
      <c r="F56" s="100">
        <f t="shared" si="25"/>
        <v>56</v>
      </c>
      <c r="G56" s="181">
        <f t="shared" si="1"/>
        <v>11</v>
      </c>
      <c r="H56" s="181" t="e">
        <f t="shared" si="4"/>
        <v>#N/A</v>
      </c>
      <c r="J56" s="193">
        <v>0.1</v>
      </c>
      <c r="K56" s="101"/>
      <c r="L56" s="183" t="e">
        <f t="shared" si="2"/>
        <v>#N/A</v>
      </c>
      <c r="M56" s="88"/>
      <c r="N56" s="91"/>
      <c r="O56" s="91"/>
      <c r="P56" s="90">
        <v>0</v>
      </c>
      <c r="Q56" s="87">
        <v>1</v>
      </c>
      <c r="R56" s="87">
        <v>0.1419</v>
      </c>
      <c r="S56" s="87">
        <v>0.12468000000000001</v>
      </c>
      <c r="T56" s="87">
        <v>0.19632000000000002</v>
      </c>
      <c r="U56" s="87">
        <v>5.5880000000000006E-2</v>
      </c>
      <c r="V56" s="193">
        <v>0</v>
      </c>
      <c r="W56" s="193">
        <v>0</v>
      </c>
      <c r="X56" s="193">
        <v>0</v>
      </c>
      <c r="Y56" s="193">
        <v>0</v>
      </c>
      <c r="Z56" s="193">
        <v>0</v>
      </c>
      <c r="AA56" s="193">
        <v>0</v>
      </c>
      <c r="AB56" s="193">
        <v>0</v>
      </c>
      <c r="AC56" s="193">
        <v>0</v>
      </c>
      <c r="AD56" s="193">
        <v>0</v>
      </c>
      <c r="AE56" s="193">
        <v>0</v>
      </c>
      <c r="AF56" s="193">
        <v>0</v>
      </c>
      <c r="AG56" s="193">
        <v>0</v>
      </c>
      <c r="AH56" s="193">
        <v>0</v>
      </c>
      <c r="AI56" s="193">
        <v>0</v>
      </c>
      <c r="AJ56" s="193">
        <v>0</v>
      </c>
      <c r="AL56" s="87">
        <f t="shared" si="5"/>
        <v>1</v>
      </c>
      <c r="AM56" s="87">
        <f t="shared" si="6"/>
        <v>0.1419</v>
      </c>
      <c r="AN56" s="87">
        <f t="shared" si="7"/>
        <v>0.12468000000000001</v>
      </c>
      <c r="AO56" s="87">
        <f t="shared" si="8"/>
        <v>0.19632000000000002</v>
      </c>
      <c r="AP56" s="87">
        <f t="shared" si="9"/>
        <v>5.5880000000000006E-2</v>
      </c>
      <c r="AQ56" s="87">
        <f t="shared" si="10"/>
        <v>0</v>
      </c>
      <c r="AR56" s="87">
        <f t="shared" si="11"/>
        <v>0</v>
      </c>
      <c r="AS56" s="87">
        <f t="shared" si="12"/>
        <v>0</v>
      </c>
      <c r="AT56" s="87">
        <f t="shared" si="13"/>
        <v>0</v>
      </c>
      <c r="AU56" s="87">
        <f t="shared" si="14"/>
        <v>0</v>
      </c>
      <c r="AV56" s="87">
        <f t="shared" si="15"/>
        <v>0</v>
      </c>
      <c r="AW56" s="87">
        <f t="shared" si="16"/>
        <v>0</v>
      </c>
      <c r="AX56" s="87">
        <f t="shared" si="17"/>
        <v>0</v>
      </c>
      <c r="AY56" s="87">
        <f t="shared" si="18"/>
        <v>0</v>
      </c>
      <c r="AZ56" s="87">
        <f t="shared" si="19"/>
        <v>0</v>
      </c>
      <c r="BA56" s="87">
        <f t="shared" si="20"/>
        <v>0</v>
      </c>
      <c r="BB56" s="87">
        <f t="shared" si="21"/>
        <v>0</v>
      </c>
      <c r="BC56" s="87">
        <f t="shared" si="22"/>
        <v>0</v>
      </c>
      <c r="BD56" s="87">
        <f t="shared" si="23"/>
        <v>0</v>
      </c>
      <c r="BE56" s="87">
        <f t="shared" si="24"/>
        <v>0</v>
      </c>
    </row>
    <row r="57" spans="1:57" s="90" customFormat="1" ht="15" customHeight="1" x14ac:dyDescent="0.25">
      <c r="A57" s="187" t="b">
        <v>1</v>
      </c>
      <c r="B57" s="188" t="b">
        <v>1</v>
      </c>
      <c r="C57" s="179" t="e">
        <f t="shared" si="0"/>
        <v>#N/A</v>
      </c>
      <c r="E57" s="180">
        <v>2028</v>
      </c>
      <c r="F57" s="100">
        <f t="shared" si="25"/>
        <v>57</v>
      </c>
      <c r="G57" s="181">
        <f t="shared" si="1"/>
        <v>10</v>
      </c>
      <c r="H57" s="181" t="e">
        <f t="shared" si="4"/>
        <v>#N/A</v>
      </c>
      <c r="J57" s="193">
        <v>0.1</v>
      </c>
      <c r="K57" s="101"/>
      <c r="L57" s="183" t="e">
        <f t="shared" si="2"/>
        <v>#N/A</v>
      </c>
      <c r="M57" s="88"/>
      <c r="N57" s="91"/>
      <c r="O57" s="91"/>
      <c r="P57" s="90">
        <v>0</v>
      </c>
      <c r="Q57" s="87">
        <v>1</v>
      </c>
      <c r="R57" s="87">
        <v>0.1419</v>
      </c>
      <c r="S57" s="87">
        <v>0.13468000000000002</v>
      </c>
      <c r="T57" s="87">
        <v>0.19632000000000002</v>
      </c>
      <c r="U57" s="87">
        <v>6.5879999999999994E-2</v>
      </c>
      <c r="V57" s="193">
        <v>0</v>
      </c>
      <c r="W57" s="193">
        <v>0</v>
      </c>
      <c r="X57" s="193">
        <v>0</v>
      </c>
      <c r="Y57" s="193">
        <v>0</v>
      </c>
      <c r="Z57" s="193">
        <v>0</v>
      </c>
      <c r="AA57" s="193">
        <v>0</v>
      </c>
      <c r="AB57" s="193">
        <v>0</v>
      </c>
      <c r="AC57" s="193">
        <v>0</v>
      </c>
      <c r="AD57" s="193">
        <v>0</v>
      </c>
      <c r="AE57" s="193">
        <v>0</v>
      </c>
      <c r="AF57" s="193">
        <v>0</v>
      </c>
      <c r="AG57" s="193">
        <v>0</v>
      </c>
      <c r="AH57" s="193">
        <v>0</v>
      </c>
      <c r="AI57" s="193">
        <v>0</v>
      </c>
      <c r="AJ57" s="193">
        <v>0</v>
      </c>
      <c r="AL57" s="87">
        <f t="shared" si="5"/>
        <v>1</v>
      </c>
      <c r="AM57" s="87">
        <f t="shared" si="6"/>
        <v>0.1419</v>
      </c>
      <c r="AN57" s="87">
        <f t="shared" si="7"/>
        <v>0.13468000000000002</v>
      </c>
      <c r="AO57" s="87">
        <f t="shared" si="8"/>
        <v>0.19632000000000002</v>
      </c>
      <c r="AP57" s="87">
        <f t="shared" si="9"/>
        <v>6.5879999999999994E-2</v>
      </c>
      <c r="AQ57" s="87">
        <f t="shared" si="10"/>
        <v>0</v>
      </c>
      <c r="AR57" s="87">
        <f t="shared" si="11"/>
        <v>0</v>
      </c>
      <c r="AS57" s="87">
        <f t="shared" si="12"/>
        <v>0</v>
      </c>
      <c r="AT57" s="87">
        <f t="shared" si="13"/>
        <v>0</v>
      </c>
      <c r="AU57" s="87">
        <f t="shared" si="14"/>
        <v>0</v>
      </c>
      <c r="AV57" s="87">
        <f t="shared" si="15"/>
        <v>0</v>
      </c>
      <c r="AW57" s="87">
        <f t="shared" si="16"/>
        <v>0</v>
      </c>
      <c r="AX57" s="87">
        <f t="shared" si="17"/>
        <v>0</v>
      </c>
      <c r="AY57" s="87">
        <f t="shared" si="18"/>
        <v>0</v>
      </c>
      <c r="AZ57" s="87">
        <f t="shared" si="19"/>
        <v>0</v>
      </c>
      <c r="BA57" s="87">
        <f t="shared" si="20"/>
        <v>0</v>
      </c>
      <c r="BB57" s="87">
        <f t="shared" si="21"/>
        <v>0</v>
      </c>
      <c r="BC57" s="87">
        <f t="shared" si="22"/>
        <v>0</v>
      </c>
      <c r="BD57" s="87">
        <f t="shared" si="23"/>
        <v>0</v>
      </c>
      <c r="BE57" s="87">
        <f t="shared" si="24"/>
        <v>0</v>
      </c>
    </row>
    <row r="58" spans="1:57" s="90" customFormat="1" ht="15" customHeight="1" x14ac:dyDescent="0.25">
      <c r="A58" s="187" t="b">
        <v>1</v>
      </c>
      <c r="B58" s="188" t="b">
        <v>1</v>
      </c>
      <c r="C58" s="179" t="e">
        <f t="shared" si="0"/>
        <v>#N/A</v>
      </c>
      <c r="E58" s="180">
        <v>2029</v>
      </c>
      <c r="F58" s="100">
        <f t="shared" si="25"/>
        <v>58</v>
      </c>
      <c r="G58" s="181">
        <f t="shared" si="1"/>
        <v>9</v>
      </c>
      <c r="H58" s="181" t="e">
        <f t="shared" si="4"/>
        <v>#N/A</v>
      </c>
      <c r="J58" s="193">
        <v>0.1</v>
      </c>
      <c r="K58" s="101"/>
      <c r="L58" s="183" t="e">
        <f t="shared" si="2"/>
        <v>#N/A</v>
      </c>
      <c r="M58" s="88"/>
      <c r="N58" s="91"/>
      <c r="O58" s="91"/>
      <c r="P58" s="90">
        <v>0</v>
      </c>
      <c r="Q58" s="87">
        <v>1</v>
      </c>
      <c r="R58" s="87">
        <v>0.1236</v>
      </c>
      <c r="S58" s="87">
        <v>0.18392</v>
      </c>
      <c r="T58" s="87">
        <v>0.19008</v>
      </c>
      <c r="U58" s="87">
        <v>8.6720000000000005E-2</v>
      </c>
      <c r="V58" s="193">
        <v>0</v>
      </c>
      <c r="W58" s="193">
        <v>0</v>
      </c>
      <c r="X58" s="193">
        <v>0</v>
      </c>
      <c r="Y58" s="193">
        <v>0</v>
      </c>
      <c r="Z58" s="193">
        <v>0</v>
      </c>
      <c r="AA58" s="193">
        <v>0</v>
      </c>
      <c r="AB58" s="193">
        <v>0</v>
      </c>
      <c r="AC58" s="193">
        <v>0</v>
      </c>
      <c r="AD58" s="193">
        <v>0</v>
      </c>
      <c r="AE58" s="193">
        <v>0</v>
      </c>
      <c r="AF58" s="193">
        <v>0</v>
      </c>
      <c r="AG58" s="193">
        <v>0</v>
      </c>
      <c r="AH58" s="193">
        <v>0</v>
      </c>
      <c r="AI58" s="193">
        <v>0</v>
      </c>
      <c r="AJ58" s="193">
        <v>0</v>
      </c>
      <c r="AL58" s="87">
        <f t="shared" si="5"/>
        <v>1</v>
      </c>
      <c r="AM58" s="87">
        <f t="shared" si="6"/>
        <v>0.1236</v>
      </c>
      <c r="AN58" s="87">
        <f t="shared" si="7"/>
        <v>0.18392</v>
      </c>
      <c r="AO58" s="87">
        <f t="shared" si="8"/>
        <v>0.19008</v>
      </c>
      <c r="AP58" s="87">
        <f t="shared" si="9"/>
        <v>8.6720000000000005E-2</v>
      </c>
      <c r="AQ58" s="87">
        <f t="shared" si="10"/>
        <v>0</v>
      </c>
      <c r="AR58" s="87">
        <f t="shared" si="11"/>
        <v>0</v>
      </c>
      <c r="AS58" s="87">
        <f t="shared" si="12"/>
        <v>0</v>
      </c>
      <c r="AT58" s="87">
        <f t="shared" si="13"/>
        <v>0</v>
      </c>
      <c r="AU58" s="87">
        <f t="shared" si="14"/>
        <v>0</v>
      </c>
      <c r="AV58" s="87">
        <f t="shared" si="15"/>
        <v>0</v>
      </c>
      <c r="AW58" s="87">
        <f t="shared" si="16"/>
        <v>0</v>
      </c>
      <c r="AX58" s="87">
        <f t="shared" si="17"/>
        <v>0</v>
      </c>
      <c r="AY58" s="87">
        <f t="shared" si="18"/>
        <v>0</v>
      </c>
      <c r="AZ58" s="87">
        <f t="shared" si="19"/>
        <v>0</v>
      </c>
      <c r="BA58" s="87">
        <f t="shared" si="20"/>
        <v>0</v>
      </c>
      <c r="BB58" s="87">
        <f t="shared" si="21"/>
        <v>0</v>
      </c>
      <c r="BC58" s="87">
        <f t="shared" si="22"/>
        <v>0</v>
      </c>
      <c r="BD58" s="87">
        <f t="shared" si="23"/>
        <v>0</v>
      </c>
      <c r="BE58" s="87">
        <f t="shared" si="24"/>
        <v>0</v>
      </c>
    </row>
    <row r="59" spans="1:57" s="90" customFormat="1" ht="15" customHeight="1" x14ac:dyDescent="0.25">
      <c r="A59" s="187" t="b">
        <v>1</v>
      </c>
      <c r="B59" s="188" t="b">
        <v>1</v>
      </c>
      <c r="C59" s="179" t="e">
        <f t="shared" si="0"/>
        <v>#N/A</v>
      </c>
      <c r="E59" s="180">
        <v>2030</v>
      </c>
      <c r="F59" s="100">
        <f t="shared" si="25"/>
        <v>59</v>
      </c>
      <c r="G59" s="181">
        <f t="shared" si="1"/>
        <v>8</v>
      </c>
      <c r="H59" s="181" t="e">
        <f t="shared" si="4"/>
        <v>#N/A</v>
      </c>
      <c r="J59" s="193">
        <v>0.1</v>
      </c>
      <c r="K59" s="101"/>
      <c r="L59" s="183" t="e">
        <f t="shared" si="2"/>
        <v>#N/A</v>
      </c>
      <c r="M59" s="88"/>
      <c r="N59" s="91"/>
      <c r="O59" s="91"/>
      <c r="P59" s="90">
        <v>0</v>
      </c>
      <c r="Q59" s="87">
        <v>1</v>
      </c>
      <c r="R59" s="87">
        <v>0.11615</v>
      </c>
      <c r="S59" s="87">
        <v>0.23777999999999999</v>
      </c>
      <c r="T59" s="87">
        <v>0.16572000000000001</v>
      </c>
      <c r="U59" s="87">
        <v>0.10798000000000001</v>
      </c>
      <c r="V59" s="193">
        <v>0</v>
      </c>
      <c r="W59" s="193">
        <v>0</v>
      </c>
      <c r="X59" s="193">
        <v>0</v>
      </c>
      <c r="Y59" s="193">
        <v>0</v>
      </c>
      <c r="Z59" s="193">
        <v>0</v>
      </c>
      <c r="AA59" s="193">
        <v>0</v>
      </c>
      <c r="AB59" s="193">
        <v>0</v>
      </c>
      <c r="AC59" s="193">
        <v>0</v>
      </c>
      <c r="AD59" s="193">
        <v>0</v>
      </c>
      <c r="AE59" s="193">
        <v>0</v>
      </c>
      <c r="AF59" s="193">
        <v>0</v>
      </c>
      <c r="AG59" s="193">
        <v>0</v>
      </c>
      <c r="AH59" s="193">
        <v>0</v>
      </c>
      <c r="AI59" s="193">
        <v>0</v>
      </c>
      <c r="AJ59" s="193">
        <v>0</v>
      </c>
      <c r="AL59" s="87">
        <f t="shared" si="5"/>
        <v>1</v>
      </c>
      <c r="AM59" s="87">
        <f t="shared" si="6"/>
        <v>0.11615</v>
      </c>
      <c r="AN59" s="87">
        <f t="shared" si="7"/>
        <v>0.23777999999999999</v>
      </c>
      <c r="AO59" s="87">
        <f t="shared" si="8"/>
        <v>0.16572000000000001</v>
      </c>
      <c r="AP59" s="87">
        <f t="shared" si="9"/>
        <v>0.10798000000000001</v>
      </c>
      <c r="AQ59" s="87">
        <f t="shared" si="10"/>
        <v>0</v>
      </c>
      <c r="AR59" s="87">
        <f t="shared" si="11"/>
        <v>0</v>
      </c>
      <c r="AS59" s="87">
        <f t="shared" si="12"/>
        <v>0</v>
      </c>
      <c r="AT59" s="87">
        <f t="shared" si="13"/>
        <v>0</v>
      </c>
      <c r="AU59" s="87">
        <f t="shared" si="14"/>
        <v>0</v>
      </c>
      <c r="AV59" s="87">
        <f t="shared" si="15"/>
        <v>0</v>
      </c>
      <c r="AW59" s="87">
        <f t="shared" si="16"/>
        <v>0</v>
      </c>
      <c r="AX59" s="87">
        <f t="shared" si="17"/>
        <v>0</v>
      </c>
      <c r="AY59" s="87">
        <f t="shared" si="18"/>
        <v>0</v>
      </c>
      <c r="AZ59" s="87">
        <f t="shared" si="19"/>
        <v>0</v>
      </c>
      <c r="BA59" s="87">
        <f t="shared" si="20"/>
        <v>0</v>
      </c>
      <c r="BB59" s="87">
        <f t="shared" si="21"/>
        <v>0</v>
      </c>
      <c r="BC59" s="87">
        <f t="shared" si="22"/>
        <v>0</v>
      </c>
      <c r="BD59" s="87">
        <f t="shared" si="23"/>
        <v>0</v>
      </c>
      <c r="BE59" s="87">
        <f t="shared" si="24"/>
        <v>0</v>
      </c>
    </row>
    <row r="60" spans="1:57" s="90" customFormat="1" ht="15" customHeight="1" x14ac:dyDescent="0.25">
      <c r="A60" s="187" t="b">
        <v>1</v>
      </c>
      <c r="B60" s="188" t="b">
        <v>1</v>
      </c>
      <c r="C60" s="179" t="e">
        <f t="shared" si="0"/>
        <v>#N/A</v>
      </c>
      <c r="E60" s="180">
        <v>2031</v>
      </c>
      <c r="F60" s="100">
        <f t="shared" si="25"/>
        <v>60</v>
      </c>
      <c r="G60" s="181">
        <f t="shared" si="1"/>
        <v>7</v>
      </c>
      <c r="H60" s="181" t="e">
        <f t="shared" si="4"/>
        <v>#N/A</v>
      </c>
      <c r="J60" s="193">
        <v>0.1</v>
      </c>
      <c r="K60" s="101"/>
      <c r="L60" s="183" t="e">
        <f t="shared" si="2"/>
        <v>#N/A</v>
      </c>
      <c r="M60" s="88"/>
      <c r="N60" s="91"/>
      <c r="O60" s="91"/>
      <c r="P60" s="90">
        <v>0</v>
      </c>
      <c r="Q60" s="87">
        <v>1</v>
      </c>
      <c r="R60" s="87">
        <v>9.870000000000001E-2</v>
      </c>
      <c r="S60" s="87">
        <v>0.27163999999999999</v>
      </c>
      <c r="T60" s="87">
        <v>0.15135999999999999</v>
      </c>
      <c r="U60" s="87">
        <v>0.13924</v>
      </c>
      <c r="V60" s="193">
        <v>0</v>
      </c>
      <c r="W60" s="193">
        <v>0</v>
      </c>
      <c r="X60" s="193">
        <v>0</v>
      </c>
      <c r="Y60" s="193">
        <v>0</v>
      </c>
      <c r="Z60" s="193">
        <v>0</v>
      </c>
      <c r="AA60" s="193">
        <v>0</v>
      </c>
      <c r="AB60" s="193">
        <v>0</v>
      </c>
      <c r="AC60" s="193">
        <v>0</v>
      </c>
      <c r="AD60" s="193">
        <v>0</v>
      </c>
      <c r="AE60" s="193">
        <v>0</v>
      </c>
      <c r="AF60" s="193">
        <v>0</v>
      </c>
      <c r="AG60" s="193">
        <v>0</v>
      </c>
      <c r="AH60" s="193">
        <v>0</v>
      </c>
      <c r="AI60" s="193">
        <v>0</v>
      </c>
      <c r="AJ60" s="193">
        <v>0</v>
      </c>
      <c r="AL60" s="87">
        <f t="shared" si="5"/>
        <v>1</v>
      </c>
      <c r="AM60" s="87">
        <f t="shared" si="6"/>
        <v>9.870000000000001E-2</v>
      </c>
      <c r="AN60" s="87">
        <f t="shared" si="7"/>
        <v>0.27163999999999999</v>
      </c>
      <c r="AO60" s="87">
        <f t="shared" si="8"/>
        <v>0.15135999999999999</v>
      </c>
      <c r="AP60" s="87">
        <f t="shared" si="9"/>
        <v>0.13924</v>
      </c>
      <c r="AQ60" s="87">
        <f t="shared" si="10"/>
        <v>0</v>
      </c>
      <c r="AR60" s="87">
        <f t="shared" si="11"/>
        <v>0</v>
      </c>
      <c r="AS60" s="87">
        <f t="shared" si="12"/>
        <v>0</v>
      </c>
      <c r="AT60" s="87">
        <f t="shared" si="13"/>
        <v>0</v>
      </c>
      <c r="AU60" s="87">
        <f t="shared" si="14"/>
        <v>0</v>
      </c>
      <c r="AV60" s="87">
        <f t="shared" si="15"/>
        <v>0</v>
      </c>
      <c r="AW60" s="87">
        <f t="shared" si="16"/>
        <v>0</v>
      </c>
      <c r="AX60" s="87">
        <f t="shared" si="17"/>
        <v>0</v>
      </c>
      <c r="AY60" s="87">
        <f t="shared" si="18"/>
        <v>0</v>
      </c>
      <c r="AZ60" s="87">
        <f t="shared" si="19"/>
        <v>0</v>
      </c>
      <c r="BA60" s="87">
        <f t="shared" si="20"/>
        <v>0</v>
      </c>
      <c r="BB60" s="87">
        <f t="shared" si="21"/>
        <v>0</v>
      </c>
      <c r="BC60" s="87">
        <f t="shared" si="22"/>
        <v>0</v>
      </c>
      <c r="BD60" s="87">
        <f t="shared" si="23"/>
        <v>0</v>
      </c>
      <c r="BE60" s="87">
        <f t="shared" si="24"/>
        <v>0</v>
      </c>
    </row>
    <row r="61" spans="1:57" s="90" customFormat="1" ht="15" customHeight="1" x14ac:dyDescent="0.25">
      <c r="A61" s="187" t="b">
        <v>1</v>
      </c>
      <c r="B61" s="188" t="b">
        <v>1</v>
      </c>
      <c r="C61" s="179" t="e">
        <f t="shared" si="0"/>
        <v>#N/A</v>
      </c>
      <c r="E61" s="180">
        <v>2032</v>
      </c>
      <c r="F61" s="100">
        <f t="shared" si="25"/>
        <v>61</v>
      </c>
      <c r="G61" s="181">
        <f t="shared" si="1"/>
        <v>6</v>
      </c>
      <c r="H61" s="181" t="e">
        <f t="shared" si="4"/>
        <v>#N/A</v>
      </c>
      <c r="J61" s="193">
        <v>0.1</v>
      </c>
      <c r="K61" s="101"/>
      <c r="L61" s="183" t="e">
        <f t="shared" si="2"/>
        <v>#N/A</v>
      </c>
      <c r="M61" s="88"/>
      <c r="N61" s="91"/>
      <c r="O61" s="91"/>
      <c r="P61" s="90">
        <v>0</v>
      </c>
      <c r="Q61" s="87">
        <v>1</v>
      </c>
      <c r="R61" s="87">
        <v>9.0400000000000008E-2</v>
      </c>
      <c r="S61" s="87">
        <v>0.31088000000000005</v>
      </c>
      <c r="T61" s="87">
        <v>0.14512</v>
      </c>
      <c r="U61" s="87">
        <v>0.15008000000000002</v>
      </c>
      <c r="V61" s="193">
        <v>0</v>
      </c>
      <c r="W61" s="193">
        <v>0</v>
      </c>
      <c r="X61" s="193">
        <v>0</v>
      </c>
      <c r="Y61" s="193">
        <v>0</v>
      </c>
      <c r="Z61" s="193">
        <v>0</v>
      </c>
      <c r="AA61" s="193">
        <v>0</v>
      </c>
      <c r="AB61" s="193">
        <v>0</v>
      </c>
      <c r="AC61" s="193">
        <v>0</v>
      </c>
      <c r="AD61" s="193">
        <v>0</v>
      </c>
      <c r="AE61" s="193">
        <v>0</v>
      </c>
      <c r="AF61" s="193">
        <v>0</v>
      </c>
      <c r="AG61" s="193">
        <v>0</v>
      </c>
      <c r="AH61" s="193">
        <v>0</v>
      </c>
      <c r="AI61" s="193">
        <v>0</v>
      </c>
      <c r="AJ61" s="193">
        <v>0</v>
      </c>
      <c r="AL61" s="87">
        <f t="shared" si="5"/>
        <v>1</v>
      </c>
      <c r="AM61" s="87">
        <f t="shared" si="6"/>
        <v>9.0400000000000008E-2</v>
      </c>
      <c r="AN61" s="87">
        <f t="shared" si="7"/>
        <v>0.31088000000000005</v>
      </c>
      <c r="AO61" s="87">
        <f t="shared" si="8"/>
        <v>0.14512</v>
      </c>
      <c r="AP61" s="87">
        <f t="shared" si="9"/>
        <v>0.15008000000000002</v>
      </c>
      <c r="AQ61" s="87">
        <f t="shared" si="10"/>
        <v>0</v>
      </c>
      <c r="AR61" s="87">
        <f t="shared" si="11"/>
        <v>0</v>
      </c>
      <c r="AS61" s="87">
        <f t="shared" si="12"/>
        <v>0</v>
      </c>
      <c r="AT61" s="87">
        <f t="shared" si="13"/>
        <v>0</v>
      </c>
      <c r="AU61" s="87">
        <f t="shared" si="14"/>
        <v>0</v>
      </c>
      <c r="AV61" s="87">
        <f t="shared" si="15"/>
        <v>0</v>
      </c>
      <c r="AW61" s="87">
        <f t="shared" si="16"/>
        <v>0</v>
      </c>
      <c r="AX61" s="87">
        <f t="shared" si="17"/>
        <v>0</v>
      </c>
      <c r="AY61" s="87">
        <f t="shared" si="18"/>
        <v>0</v>
      </c>
      <c r="AZ61" s="87">
        <f t="shared" si="19"/>
        <v>0</v>
      </c>
      <c r="BA61" s="87">
        <f t="shared" si="20"/>
        <v>0</v>
      </c>
      <c r="BB61" s="87">
        <f t="shared" si="21"/>
        <v>0</v>
      </c>
      <c r="BC61" s="87">
        <f t="shared" si="22"/>
        <v>0</v>
      </c>
      <c r="BD61" s="87">
        <f t="shared" si="23"/>
        <v>0</v>
      </c>
      <c r="BE61" s="87">
        <f t="shared" si="24"/>
        <v>0</v>
      </c>
    </row>
    <row r="62" spans="1:57" s="90" customFormat="1" ht="15" customHeight="1" x14ac:dyDescent="0.25">
      <c r="A62" s="187" t="b">
        <v>1</v>
      </c>
      <c r="B62" s="188" t="b">
        <v>1</v>
      </c>
      <c r="C62" s="179" t="e">
        <f t="shared" si="0"/>
        <v>#N/A</v>
      </c>
      <c r="E62" s="180">
        <v>2033</v>
      </c>
      <c r="F62" s="100">
        <f t="shared" si="25"/>
        <v>62</v>
      </c>
      <c r="G62" s="181">
        <f t="shared" si="1"/>
        <v>5</v>
      </c>
      <c r="H62" s="181" t="e">
        <f t="shared" si="4"/>
        <v>#N/A</v>
      </c>
      <c r="J62" s="193">
        <v>0.1</v>
      </c>
      <c r="K62" s="101"/>
      <c r="L62" s="183" t="e">
        <f t="shared" si="2"/>
        <v>#N/A</v>
      </c>
      <c r="M62" s="88"/>
      <c r="N62" s="91"/>
      <c r="O62" s="91"/>
      <c r="P62" s="90">
        <v>0</v>
      </c>
      <c r="Q62" s="87">
        <v>1</v>
      </c>
      <c r="R62" s="87">
        <v>8.2949999999999996E-2</v>
      </c>
      <c r="S62" s="87">
        <v>0.35474000000000006</v>
      </c>
      <c r="T62" s="87">
        <v>0.13076000000000002</v>
      </c>
      <c r="U62" s="87">
        <v>0.17133999999999999</v>
      </c>
      <c r="V62" s="193">
        <v>0</v>
      </c>
      <c r="W62" s="193">
        <v>0</v>
      </c>
      <c r="X62" s="193">
        <v>0</v>
      </c>
      <c r="Y62" s="193">
        <v>0</v>
      </c>
      <c r="Z62" s="193">
        <v>0</v>
      </c>
      <c r="AA62" s="193">
        <v>0</v>
      </c>
      <c r="AB62" s="193">
        <v>0</v>
      </c>
      <c r="AC62" s="193">
        <v>0</v>
      </c>
      <c r="AD62" s="193">
        <v>0</v>
      </c>
      <c r="AE62" s="193">
        <v>0</v>
      </c>
      <c r="AF62" s="193">
        <v>0</v>
      </c>
      <c r="AG62" s="193">
        <v>0</v>
      </c>
      <c r="AH62" s="193">
        <v>0</v>
      </c>
      <c r="AI62" s="193">
        <v>0</v>
      </c>
      <c r="AJ62" s="193">
        <v>0</v>
      </c>
      <c r="AL62" s="87">
        <f t="shared" si="5"/>
        <v>1</v>
      </c>
      <c r="AM62" s="87">
        <f t="shared" si="6"/>
        <v>8.2949999999999996E-2</v>
      </c>
      <c r="AN62" s="87">
        <f t="shared" si="7"/>
        <v>0.35474000000000006</v>
      </c>
      <c r="AO62" s="87">
        <f t="shared" si="8"/>
        <v>0.13076000000000002</v>
      </c>
      <c r="AP62" s="87">
        <f t="shared" si="9"/>
        <v>0.17133999999999999</v>
      </c>
      <c r="AQ62" s="87">
        <f t="shared" si="10"/>
        <v>0</v>
      </c>
      <c r="AR62" s="87">
        <f t="shared" si="11"/>
        <v>0</v>
      </c>
      <c r="AS62" s="87">
        <f t="shared" si="12"/>
        <v>0</v>
      </c>
      <c r="AT62" s="87">
        <f t="shared" si="13"/>
        <v>0</v>
      </c>
      <c r="AU62" s="87">
        <f t="shared" si="14"/>
        <v>0</v>
      </c>
      <c r="AV62" s="87">
        <f t="shared" si="15"/>
        <v>0</v>
      </c>
      <c r="AW62" s="87">
        <f t="shared" si="16"/>
        <v>0</v>
      </c>
      <c r="AX62" s="87">
        <f t="shared" si="17"/>
        <v>0</v>
      </c>
      <c r="AY62" s="87">
        <f t="shared" si="18"/>
        <v>0</v>
      </c>
      <c r="AZ62" s="87">
        <f t="shared" si="19"/>
        <v>0</v>
      </c>
      <c r="BA62" s="87">
        <f t="shared" si="20"/>
        <v>0</v>
      </c>
      <c r="BB62" s="87">
        <f t="shared" si="21"/>
        <v>0</v>
      </c>
      <c r="BC62" s="87">
        <f t="shared" si="22"/>
        <v>0</v>
      </c>
      <c r="BD62" s="87">
        <f t="shared" si="23"/>
        <v>0</v>
      </c>
      <c r="BE62" s="87">
        <f t="shared" si="24"/>
        <v>0</v>
      </c>
    </row>
    <row r="63" spans="1:57" s="90" customFormat="1" ht="15" customHeight="1" x14ac:dyDescent="0.25">
      <c r="A63" s="187" t="b">
        <v>1</v>
      </c>
      <c r="B63" s="188" t="b">
        <v>1</v>
      </c>
      <c r="C63" s="179" t="e">
        <f t="shared" si="0"/>
        <v>#N/A</v>
      </c>
      <c r="E63" s="180">
        <v>2034</v>
      </c>
      <c r="F63" s="100">
        <f t="shared" si="25"/>
        <v>63</v>
      </c>
      <c r="G63" s="181">
        <f t="shared" si="1"/>
        <v>4</v>
      </c>
      <c r="H63" s="181" t="e">
        <f t="shared" si="4"/>
        <v>#N/A</v>
      </c>
      <c r="J63" s="193">
        <v>0.1</v>
      </c>
      <c r="K63" s="101"/>
      <c r="L63" s="183" t="e">
        <f t="shared" si="2"/>
        <v>#N/A</v>
      </c>
      <c r="M63" s="88"/>
      <c r="N63" s="91"/>
      <c r="O63" s="91"/>
      <c r="P63" s="90">
        <v>0</v>
      </c>
      <c r="Q63" s="87">
        <v>1</v>
      </c>
      <c r="R63" s="87">
        <v>7.4650000000000008E-2</v>
      </c>
      <c r="S63" s="87">
        <v>0.39398</v>
      </c>
      <c r="T63" s="87">
        <v>0.12452000000000001</v>
      </c>
      <c r="U63" s="87">
        <v>0.19217999999999999</v>
      </c>
      <c r="V63" s="193">
        <v>0</v>
      </c>
      <c r="W63" s="193">
        <v>0</v>
      </c>
      <c r="X63" s="193">
        <v>0</v>
      </c>
      <c r="Y63" s="193">
        <v>0</v>
      </c>
      <c r="Z63" s="193">
        <v>0</v>
      </c>
      <c r="AA63" s="193">
        <v>0</v>
      </c>
      <c r="AB63" s="193">
        <v>0</v>
      </c>
      <c r="AC63" s="193">
        <v>0</v>
      </c>
      <c r="AD63" s="193">
        <v>0</v>
      </c>
      <c r="AE63" s="193">
        <v>0</v>
      </c>
      <c r="AF63" s="193">
        <v>0</v>
      </c>
      <c r="AG63" s="193">
        <v>0</v>
      </c>
      <c r="AH63" s="193">
        <v>0</v>
      </c>
      <c r="AI63" s="193">
        <v>0</v>
      </c>
      <c r="AJ63" s="193">
        <v>0</v>
      </c>
      <c r="AL63" s="87">
        <f t="shared" si="5"/>
        <v>1</v>
      </c>
      <c r="AM63" s="87">
        <f t="shared" si="6"/>
        <v>7.4650000000000008E-2</v>
      </c>
      <c r="AN63" s="87">
        <f t="shared" si="7"/>
        <v>0.39398</v>
      </c>
      <c r="AO63" s="87">
        <f t="shared" si="8"/>
        <v>0.12452000000000001</v>
      </c>
      <c r="AP63" s="87">
        <f t="shared" si="9"/>
        <v>0.19217999999999999</v>
      </c>
      <c r="AQ63" s="87">
        <f t="shared" si="10"/>
        <v>0</v>
      </c>
      <c r="AR63" s="87">
        <f t="shared" si="11"/>
        <v>0</v>
      </c>
      <c r="AS63" s="87">
        <f t="shared" si="12"/>
        <v>0</v>
      </c>
      <c r="AT63" s="87">
        <f t="shared" si="13"/>
        <v>0</v>
      </c>
      <c r="AU63" s="87">
        <f t="shared" si="14"/>
        <v>0</v>
      </c>
      <c r="AV63" s="87">
        <f t="shared" si="15"/>
        <v>0</v>
      </c>
      <c r="AW63" s="87">
        <f t="shared" si="16"/>
        <v>0</v>
      </c>
      <c r="AX63" s="87">
        <f t="shared" si="17"/>
        <v>0</v>
      </c>
      <c r="AY63" s="87">
        <f t="shared" si="18"/>
        <v>0</v>
      </c>
      <c r="AZ63" s="87">
        <f t="shared" si="19"/>
        <v>0</v>
      </c>
      <c r="BA63" s="87">
        <f t="shared" si="20"/>
        <v>0</v>
      </c>
      <c r="BB63" s="87">
        <f t="shared" si="21"/>
        <v>0</v>
      </c>
      <c r="BC63" s="87">
        <f t="shared" si="22"/>
        <v>0</v>
      </c>
      <c r="BD63" s="87">
        <f t="shared" si="23"/>
        <v>0</v>
      </c>
      <c r="BE63" s="87">
        <f t="shared" si="24"/>
        <v>0</v>
      </c>
    </row>
    <row r="64" spans="1:57" s="90" customFormat="1" ht="15" customHeight="1" x14ac:dyDescent="0.25">
      <c r="A64" s="187" t="b">
        <v>1</v>
      </c>
      <c r="B64" s="188" t="b">
        <v>1</v>
      </c>
      <c r="C64" s="179" t="e">
        <f t="shared" si="0"/>
        <v>#N/A</v>
      </c>
      <c r="E64" s="180">
        <v>2035</v>
      </c>
      <c r="F64" s="100">
        <f t="shared" si="25"/>
        <v>64</v>
      </c>
      <c r="G64" s="181">
        <f t="shared" si="1"/>
        <v>3</v>
      </c>
      <c r="H64" s="181" t="e">
        <f t="shared" si="4"/>
        <v>#N/A</v>
      </c>
      <c r="J64" s="193">
        <v>0.1</v>
      </c>
      <c r="K64" s="101"/>
      <c r="L64" s="183" t="e">
        <f t="shared" si="2"/>
        <v>#N/A</v>
      </c>
      <c r="M64" s="88"/>
      <c r="N64" s="91"/>
      <c r="O64" s="91"/>
      <c r="P64" s="90">
        <v>0</v>
      </c>
      <c r="Q64" s="87">
        <v>1</v>
      </c>
      <c r="R64" s="87">
        <v>3.3399999999999999E-2</v>
      </c>
      <c r="S64" s="87">
        <v>3.848E-2</v>
      </c>
      <c r="T64" s="87">
        <v>4.752E-2</v>
      </c>
      <c r="U64" s="87">
        <v>0.76168000000000002</v>
      </c>
      <c r="V64" s="193">
        <v>0</v>
      </c>
      <c r="W64" s="193">
        <v>0</v>
      </c>
      <c r="X64" s="193">
        <v>0</v>
      </c>
      <c r="Y64" s="193">
        <v>0</v>
      </c>
      <c r="Z64" s="193">
        <v>0</v>
      </c>
      <c r="AA64" s="193">
        <v>0</v>
      </c>
      <c r="AB64" s="193">
        <v>0</v>
      </c>
      <c r="AC64" s="193">
        <v>0</v>
      </c>
      <c r="AD64" s="193">
        <v>0</v>
      </c>
      <c r="AE64" s="193">
        <v>0</v>
      </c>
      <c r="AF64" s="193">
        <v>0</v>
      </c>
      <c r="AG64" s="193">
        <v>0</v>
      </c>
      <c r="AH64" s="193">
        <v>0</v>
      </c>
      <c r="AI64" s="193">
        <v>0</v>
      </c>
      <c r="AJ64" s="193">
        <v>0</v>
      </c>
      <c r="AL64" s="87">
        <f t="shared" si="5"/>
        <v>1</v>
      </c>
      <c r="AM64" s="87">
        <f t="shared" si="6"/>
        <v>3.3399999999999999E-2</v>
      </c>
      <c r="AN64" s="87">
        <f t="shared" si="7"/>
        <v>3.848E-2</v>
      </c>
      <c r="AO64" s="87">
        <f t="shared" si="8"/>
        <v>4.752E-2</v>
      </c>
      <c r="AP64" s="87">
        <f t="shared" si="9"/>
        <v>0.76168000000000002</v>
      </c>
      <c r="AQ64" s="87">
        <f t="shared" si="10"/>
        <v>0</v>
      </c>
      <c r="AR64" s="87">
        <f t="shared" si="11"/>
        <v>0</v>
      </c>
      <c r="AS64" s="87">
        <f t="shared" si="12"/>
        <v>0</v>
      </c>
      <c r="AT64" s="87">
        <f t="shared" si="13"/>
        <v>0</v>
      </c>
      <c r="AU64" s="87">
        <f t="shared" si="14"/>
        <v>0</v>
      </c>
      <c r="AV64" s="87">
        <f t="shared" si="15"/>
        <v>0</v>
      </c>
      <c r="AW64" s="87">
        <f t="shared" si="16"/>
        <v>0</v>
      </c>
      <c r="AX64" s="87">
        <f t="shared" si="17"/>
        <v>0</v>
      </c>
      <c r="AY64" s="87">
        <f t="shared" si="18"/>
        <v>0</v>
      </c>
      <c r="AZ64" s="87">
        <f t="shared" si="19"/>
        <v>0</v>
      </c>
      <c r="BA64" s="87">
        <f t="shared" si="20"/>
        <v>0</v>
      </c>
      <c r="BB64" s="87">
        <f t="shared" si="21"/>
        <v>0</v>
      </c>
      <c r="BC64" s="87">
        <f t="shared" si="22"/>
        <v>0</v>
      </c>
      <c r="BD64" s="87">
        <f t="shared" si="23"/>
        <v>0</v>
      </c>
      <c r="BE64" s="87">
        <f t="shared" si="24"/>
        <v>0</v>
      </c>
    </row>
    <row r="65" spans="1:57" s="90" customFormat="1" ht="15" customHeight="1" x14ac:dyDescent="0.25">
      <c r="A65" s="187" t="b">
        <v>1</v>
      </c>
      <c r="B65" s="188" t="b">
        <v>1</v>
      </c>
      <c r="C65" s="179" t="e">
        <f t="shared" si="0"/>
        <v>#N/A</v>
      </c>
      <c r="E65" s="180">
        <v>2036</v>
      </c>
      <c r="F65" s="100">
        <f t="shared" si="25"/>
        <v>65</v>
      </c>
      <c r="G65" s="181">
        <f t="shared" si="1"/>
        <v>2</v>
      </c>
      <c r="H65" s="181" t="e">
        <f t="shared" si="4"/>
        <v>#N/A</v>
      </c>
      <c r="J65" s="193">
        <v>0.1</v>
      </c>
      <c r="K65" s="101"/>
      <c r="L65" s="183" t="e">
        <f t="shared" si="2"/>
        <v>#N/A</v>
      </c>
      <c r="M65" s="88"/>
      <c r="N65" s="91"/>
      <c r="O65" s="91"/>
      <c r="P65" s="90">
        <v>0</v>
      </c>
      <c r="Q65" s="87">
        <v>1</v>
      </c>
      <c r="R65" s="87">
        <v>2.2550000000000001E-2</v>
      </c>
      <c r="S65" s="87">
        <v>2.3859999999999999E-2</v>
      </c>
      <c r="T65" s="87">
        <v>2.564E-2</v>
      </c>
      <c r="U65" s="87">
        <v>0.86126000000000003</v>
      </c>
      <c r="V65" s="193">
        <v>0</v>
      </c>
      <c r="W65" s="193">
        <v>0</v>
      </c>
      <c r="X65" s="193">
        <v>0</v>
      </c>
      <c r="Y65" s="193">
        <v>0</v>
      </c>
      <c r="Z65" s="193">
        <v>0</v>
      </c>
      <c r="AA65" s="193">
        <v>0</v>
      </c>
      <c r="AB65" s="193">
        <v>0</v>
      </c>
      <c r="AC65" s="193">
        <v>0</v>
      </c>
      <c r="AD65" s="193">
        <v>0</v>
      </c>
      <c r="AE65" s="193">
        <v>0</v>
      </c>
      <c r="AF65" s="193">
        <v>0</v>
      </c>
      <c r="AG65" s="193">
        <v>0</v>
      </c>
      <c r="AH65" s="193">
        <v>0</v>
      </c>
      <c r="AI65" s="193">
        <v>0</v>
      </c>
      <c r="AJ65" s="193">
        <v>0</v>
      </c>
      <c r="AL65" s="87">
        <f t="shared" si="5"/>
        <v>1</v>
      </c>
      <c r="AM65" s="87">
        <f t="shared" si="6"/>
        <v>2.2550000000000001E-2</v>
      </c>
      <c r="AN65" s="87">
        <f t="shared" si="7"/>
        <v>2.3859999999999999E-2</v>
      </c>
      <c r="AO65" s="87">
        <f t="shared" si="8"/>
        <v>2.564E-2</v>
      </c>
      <c r="AP65" s="87">
        <f t="shared" si="9"/>
        <v>0.86126000000000003</v>
      </c>
      <c r="AQ65" s="87">
        <f t="shared" si="10"/>
        <v>0</v>
      </c>
      <c r="AR65" s="87">
        <f t="shared" si="11"/>
        <v>0</v>
      </c>
      <c r="AS65" s="87">
        <f t="shared" si="12"/>
        <v>0</v>
      </c>
      <c r="AT65" s="87">
        <f t="shared" si="13"/>
        <v>0</v>
      </c>
      <c r="AU65" s="87">
        <f t="shared" si="14"/>
        <v>0</v>
      </c>
      <c r="AV65" s="87">
        <f t="shared" si="15"/>
        <v>0</v>
      </c>
      <c r="AW65" s="87">
        <f t="shared" si="16"/>
        <v>0</v>
      </c>
      <c r="AX65" s="87">
        <f t="shared" si="17"/>
        <v>0</v>
      </c>
      <c r="AY65" s="87">
        <f t="shared" si="18"/>
        <v>0</v>
      </c>
      <c r="AZ65" s="87">
        <f t="shared" si="19"/>
        <v>0</v>
      </c>
      <c r="BA65" s="87">
        <f t="shared" si="20"/>
        <v>0</v>
      </c>
      <c r="BB65" s="87">
        <f t="shared" si="21"/>
        <v>0</v>
      </c>
      <c r="BC65" s="87">
        <f t="shared" si="22"/>
        <v>0</v>
      </c>
      <c r="BD65" s="87">
        <f t="shared" si="23"/>
        <v>0</v>
      </c>
      <c r="BE65" s="87">
        <f t="shared" si="24"/>
        <v>0</v>
      </c>
    </row>
    <row r="66" spans="1:57" s="90" customFormat="1" ht="15" customHeight="1" x14ac:dyDescent="0.25">
      <c r="A66" s="187" t="b">
        <v>1</v>
      </c>
      <c r="B66" s="188" t="b">
        <v>1</v>
      </c>
      <c r="C66" s="179" t="e">
        <f t="shared" si="0"/>
        <v>#N/A</v>
      </c>
      <c r="E66" s="180">
        <v>2037</v>
      </c>
      <c r="F66" s="100">
        <f t="shared" si="25"/>
        <v>66</v>
      </c>
      <c r="G66" s="181">
        <f t="shared" si="1"/>
        <v>1</v>
      </c>
      <c r="H66" s="181" t="e">
        <f t="shared" si="4"/>
        <v>#N/A</v>
      </c>
      <c r="J66" s="193">
        <v>0.1</v>
      </c>
      <c r="K66" s="101"/>
      <c r="L66" s="183" t="e">
        <f t="shared" si="2"/>
        <v>#N/A</v>
      </c>
      <c r="M66" s="88"/>
      <c r="N66" s="91"/>
      <c r="O66" s="91"/>
      <c r="P66" s="90">
        <v>0</v>
      </c>
      <c r="Q66" s="87">
        <v>1</v>
      </c>
      <c r="R66" s="87">
        <v>1.085E-2</v>
      </c>
      <c r="S66" s="87">
        <v>4.62E-3</v>
      </c>
      <c r="T66" s="87">
        <v>1.188E-2</v>
      </c>
      <c r="U66" s="87">
        <v>0.95041999999999993</v>
      </c>
      <c r="V66" s="193">
        <v>0</v>
      </c>
      <c r="W66" s="193">
        <v>0</v>
      </c>
      <c r="X66" s="193">
        <v>0</v>
      </c>
      <c r="Y66" s="193">
        <v>0</v>
      </c>
      <c r="Z66" s="193">
        <v>0</v>
      </c>
      <c r="AA66" s="193">
        <v>0</v>
      </c>
      <c r="AB66" s="193">
        <v>0</v>
      </c>
      <c r="AC66" s="193">
        <v>0</v>
      </c>
      <c r="AD66" s="193">
        <v>0</v>
      </c>
      <c r="AE66" s="193">
        <v>0</v>
      </c>
      <c r="AF66" s="193">
        <v>0</v>
      </c>
      <c r="AG66" s="193">
        <v>0</v>
      </c>
      <c r="AH66" s="193">
        <v>0</v>
      </c>
      <c r="AI66" s="193">
        <v>0</v>
      </c>
      <c r="AJ66" s="193">
        <v>0</v>
      </c>
      <c r="AL66" s="87">
        <f t="shared" si="5"/>
        <v>1</v>
      </c>
      <c r="AM66" s="87">
        <f t="shared" si="6"/>
        <v>1.085E-2</v>
      </c>
      <c r="AN66" s="87">
        <f t="shared" si="7"/>
        <v>4.62E-3</v>
      </c>
      <c r="AO66" s="87">
        <f t="shared" si="8"/>
        <v>1.188E-2</v>
      </c>
      <c r="AP66" s="87">
        <f t="shared" si="9"/>
        <v>0.95041999999999993</v>
      </c>
      <c r="AQ66" s="87">
        <f t="shared" si="10"/>
        <v>0</v>
      </c>
      <c r="AR66" s="87">
        <f t="shared" si="11"/>
        <v>0</v>
      </c>
      <c r="AS66" s="87">
        <f t="shared" si="12"/>
        <v>0</v>
      </c>
      <c r="AT66" s="87">
        <f t="shared" si="13"/>
        <v>0</v>
      </c>
      <c r="AU66" s="87">
        <f t="shared" si="14"/>
        <v>0</v>
      </c>
      <c r="AV66" s="87">
        <f t="shared" si="15"/>
        <v>0</v>
      </c>
      <c r="AW66" s="87">
        <f t="shared" si="16"/>
        <v>0</v>
      </c>
      <c r="AX66" s="87">
        <f t="shared" si="17"/>
        <v>0</v>
      </c>
      <c r="AY66" s="87">
        <f t="shared" si="18"/>
        <v>0</v>
      </c>
      <c r="AZ66" s="87">
        <f t="shared" si="19"/>
        <v>0</v>
      </c>
      <c r="BA66" s="87">
        <f t="shared" si="20"/>
        <v>0</v>
      </c>
      <c r="BB66" s="87">
        <f t="shared" si="21"/>
        <v>0</v>
      </c>
      <c r="BC66" s="87">
        <f t="shared" si="22"/>
        <v>0</v>
      </c>
      <c r="BD66" s="87">
        <f t="shared" si="23"/>
        <v>0</v>
      </c>
      <c r="BE66" s="87">
        <f t="shared" si="24"/>
        <v>0</v>
      </c>
    </row>
    <row r="67" spans="1:57" s="90" customFormat="1" ht="15" customHeight="1" x14ac:dyDescent="0.25">
      <c r="A67" s="187" t="b">
        <v>1</v>
      </c>
      <c r="B67" s="188" t="b">
        <v>1</v>
      </c>
      <c r="C67" s="179" t="e">
        <f t="shared" si="0"/>
        <v>#N/A</v>
      </c>
      <c r="E67" s="180">
        <v>2038</v>
      </c>
      <c r="F67" s="100">
        <f t="shared" si="25"/>
        <v>67</v>
      </c>
      <c r="G67" s="181">
        <f t="shared" si="1"/>
        <v>0</v>
      </c>
      <c r="H67" s="181" t="e">
        <f t="shared" si="4"/>
        <v>#N/A</v>
      </c>
      <c r="J67" s="193">
        <v>0.1</v>
      </c>
      <c r="K67" s="101"/>
      <c r="L67" s="183" t="e">
        <f t="shared" si="2"/>
        <v>#N/A</v>
      </c>
      <c r="M67" s="88"/>
      <c r="N67" s="91"/>
      <c r="O67" s="91"/>
      <c r="P67" s="90">
        <v>0</v>
      </c>
      <c r="Q67" s="87">
        <v>1</v>
      </c>
      <c r="R67" s="87">
        <v>0</v>
      </c>
      <c r="S67" s="87">
        <v>0</v>
      </c>
      <c r="T67" s="87">
        <v>0</v>
      </c>
      <c r="U67" s="87">
        <v>1</v>
      </c>
      <c r="V67" s="193">
        <v>0</v>
      </c>
      <c r="W67" s="193">
        <v>0</v>
      </c>
      <c r="X67" s="193">
        <v>0</v>
      </c>
      <c r="Y67" s="193">
        <v>0</v>
      </c>
      <c r="Z67" s="193">
        <v>0</v>
      </c>
      <c r="AA67" s="193">
        <v>0</v>
      </c>
      <c r="AB67" s="193">
        <v>0</v>
      </c>
      <c r="AC67" s="193">
        <v>0</v>
      </c>
      <c r="AD67" s="193">
        <v>0</v>
      </c>
      <c r="AE67" s="193">
        <v>0</v>
      </c>
      <c r="AF67" s="193">
        <v>0</v>
      </c>
      <c r="AG67" s="193">
        <v>0</v>
      </c>
      <c r="AH67" s="193">
        <v>0</v>
      </c>
      <c r="AI67" s="193">
        <v>0</v>
      </c>
      <c r="AJ67" s="193">
        <v>0</v>
      </c>
      <c r="AL67" s="87">
        <f t="shared" si="5"/>
        <v>1</v>
      </c>
      <c r="AM67" s="87">
        <f t="shared" si="6"/>
        <v>0</v>
      </c>
      <c r="AN67" s="87">
        <f t="shared" si="7"/>
        <v>0</v>
      </c>
      <c r="AO67" s="87">
        <f t="shared" si="8"/>
        <v>0</v>
      </c>
      <c r="AP67" s="87">
        <f t="shared" si="9"/>
        <v>1</v>
      </c>
      <c r="AQ67" s="87">
        <f t="shared" si="10"/>
        <v>0</v>
      </c>
      <c r="AR67" s="87">
        <f t="shared" si="11"/>
        <v>0</v>
      </c>
      <c r="AS67" s="87">
        <f t="shared" si="12"/>
        <v>0</v>
      </c>
      <c r="AT67" s="87">
        <f t="shared" si="13"/>
        <v>0</v>
      </c>
      <c r="AU67" s="87">
        <f t="shared" si="14"/>
        <v>0</v>
      </c>
      <c r="AV67" s="87">
        <f t="shared" si="15"/>
        <v>0</v>
      </c>
      <c r="AW67" s="87">
        <f t="shared" si="16"/>
        <v>0</v>
      </c>
      <c r="AX67" s="87">
        <f t="shared" si="17"/>
        <v>0</v>
      </c>
      <c r="AY67" s="87">
        <f t="shared" si="18"/>
        <v>0</v>
      </c>
      <c r="AZ67" s="87">
        <f t="shared" si="19"/>
        <v>0</v>
      </c>
      <c r="BA67" s="87">
        <f t="shared" si="20"/>
        <v>0</v>
      </c>
      <c r="BB67" s="87">
        <f t="shared" si="21"/>
        <v>0</v>
      </c>
      <c r="BC67" s="87">
        <f t="shared" si="22"/>
        <v>0</v>
      </c>
      <c r="BD67" s="87">
        <f t="shared" si="23"/>
        <v>0</v>
      </c>
      <c r="BE67" s="87">
        <f t="shared" si="24"/>
        <v>0</v>
      </c>
    </row>
    <row r="68" spans="1:57" s="90" customFormat="1" ht="15" customHeight="1" x14ac:dyDescent="0.25">
      <c r="A68" s="187" t="b">
        <v>1</v>
      </c>
      <c r="B68" s="188" t="b">
        <v>1</v>
      </c>
      <c r="C68" s="179" t="e">
        <f t="shared" si="0"/>
        <v>#N/A</v>
      </c>
      <c r="E68" s="180">
        <v>2039</v>
      </c>
      <c r="F68" s="100">
        <f t="shared" si="25"/>
        <v>68</v>
      </c>
      <c r="G68" s="181">
        <f t="shared" si="1"/>
        <v>-1</v>
      </c>
      <c r="H68" s="181" t="e">
        <f t="shared" si="4"/>
        <v>#N/A</v>
      </c>
      <c r="J68" s="182">
        <v>0.1</v>
      </c>
      <c r="K68" s="101"/>
      <c r="L68" s="183" t="e">
        <f t="shared" si="2"/>
        <v>#N/A</v>
      </c>
      <c r="M68" s="184"/>
      <c r="N68" s="91"/>
      <c r="O68" s="91"/>
      <c r="P68" s="90">
        <v>0</v>
      </c>
      <c r="Q68" s="87">
        <v>1</v>
      </c>
      <c r="R68" s="185">
        <v>0.1419</v>
      </c>
      <c r="S68" s="185">
        <v>0.12468000000000001</v>
      </c>
      <c r="T68" s="185">
        <v>0.19632000000000002</v>
      </c>
      <c r="U68" s="185">
        <v>5.5880000000000006E-2</v>
      </c>
      <c r="V68" s="182">
        <v>0</v>
      </c>
      <c r="W68" s="182">
        <v>0</v>
      </c>
      <c r="X68" s="182">
        <v>0</v>
      </c>
      <c r="Y68" s="182">
        <v>0</v>
      </c>
      <c r="Z68" s="182">
        <v>0</v>
      </c>
      <c r="AA68" s="182">
        <v>0</v>
      </c>
      <c r="AB68" s="182">
        <v>0</v>
      </c>
      <c r="AC68" s="182">
        <v>0</v>
      </c>
      <c r="AD68" s="182">
        <v>0</v>
      </c>
      <c r="AE68" s="182">
        <v>0</v>
      </c>
      <c r="AF68" s="182">
        <v>0</v>
      </c>
      <c r="AG68" s="182">
        <v>0</v>
      </c>
      <c r="AH68" s="182">
        <v>0</v>
      </c>
      <c r="AI68" s="182">
        <v>0</v>
      </c>
      <c r="AJ68" s="182">
        <v>0</v>
      </c>
      <c r="AL68" s="185">
        <f t="shared" si="5"/>
        <v>1</v>
      </c>
      <c r="AM68" s="185">
        <f t="shared" si="6"/>
        <v>0.1419</v>
      </c>
      <c r="AN68" s="185">
        <f t="shared" si="7"/>
        <v>0.12468000000000001</v>
      </c>
      <c r="AO68" s="185">
        <f t="shared" si="8"/>
        <v>0.19632000000000002</v>
      </c>
      <c r="AP68" s="185">
        <f t="shared" si="9"/>
        <v>5.5880000000000006E-2</v>
      </c>
      <c r="AQ68" s="185">
        <f t="shared" si="10"/>
        <v>0</v>
      </c>
      <c r="AR68" s="185">
        <f t="shared" si="11"/>
        <v>0</v>
      </c>
      <c r="AS68" s="185">
        <f t="shared" si="12"/>
        <v>0</v>
      </c>
      <c r="AT68" s="185">
        <f t="shared" si="13"/>
        <v>0</v>
      </c>
      <c r="AU68" s="185">
        <f t="shared" si="14"/>
        <v>0</v>
      </c>
      <c r="AV68" s="185">
        <f t="shared" si="15"/>
        <v>0</v>
      </c>
      <c r="AW68" s="185">
        <f t="shared" si="16"/>
        <v>0</v>
      </c>
      <c r="AX68" s="185">
        <f t="shared" si="17"/>
        <v>0</v>
      </c>
      <c r="AY68" s="185">
        <f t="shared" si="18"/>
        <v>0</v>
      </c>
      <c r="AZ68" s="185">
        <f t="shared" si="19"/>
        <v>0</v>
      </c>
      <c r="BA68" s="185">
        <f t="shared" si="20"/>
        <v>0</v>
      </c>
      <c r="BB68" s="185">
        <f t="shared" si="21"/>
        <v>0</v>
      </c>
      <c r="BC68" s="185">
        <f t="shared" si="22"/>
        <v>0</v>
      </c>
      <c r="BD68" s="185">
        <f t="shared" si="23"/>
        <v>0</v>
      </c>
      <c r="BE68" s="185">
        <f t="shared" si="24"/>
        <v>0</v>
      </c>
    </row>
    <row r="69" spans="1:57" s="90" customFormat="1" ht="15" hidden="1" customHeight="1" x14ac:dyDescent="0.25">
      <c r="A69" s="187" t="b">
        <v>1</v>
      </c>
      <c r="B69" s="188" t="b">
        <v>1</v>
      </c>
      <c r="C69" s="179" t="e">
        <f t="shared" si="0"/>
        <v>#N/A</v>
      </c>
      <c r="E69" s="180">
        <v>2040</v>
      </c>
      <c r="F69" s="100">
        <f t="shared" si="25"/>
        <v>69</v>
      </c>
      <c r="G69" s="181">
        <f t="shared" si="1"/>
        <v>-2</v>
      </c>
      <c r="H69" s="181" t="e">
        <f t="shared" si="4"/>
        <v>#N/A</v>
      </c>
      <c r="J69" s="182">
        <v>0.1</v>
      </c>
      <c r="K69" s="101"/>
      <c r="L69" s="183" t="e">
        <f t="shared" si="2"/>
        <v>#N/A</v>
      </c>
      <c r="M69" s="184"/>
      <c r="N69" s="91"/>
      <c r="O69" s="91"/>
      <c r="P69" s="90">
        <v>0</v>
      </c>
      <c r="Q69" s="87">
        <v>1</v>
      </c>
      <c r="R69" s="185">
        <v>0.1419</v>
      </c>
      <c r="S69" s="185">
        <v>0.12468000000000001</v>
      </c>
      <c r="T69" s="185">
        <v>0.19632000000000002</v>
      </c>
      <c r="U69" s="185">
        <v>5.5880000000000006E-2</v>
      </c>
      <c r="V69" s="182">
        <v>0</v>
      </c>
      <c r="W69" s="182">
        <v>0</v>
      </c>
      <c r="X69" s="182">
        <v>0</v>
      </c>
      <c r="Y69" s="182">
        <v>0</v>
      </c>
      <c r="Z69" s="182">
        <v>0</v>
      </c>
      <c r="AA69" s="182">
        <v>0</v>
      </c>
      <c r="AB69" s="182">
        <v>0</v>
      </c>
      <c r="AC69" s="182">
        <v>0</v>
      </c>
      <c r="AD69" s="182">
        <v>0</v>
      </c>
      <c r="AE69" s="182">
        <v>0</v>
      </c>
      <c r="AF69" s="182">
        <v>0</v>
      </c>
      <c r="AG69" s="182">
        <v>0</v>
      </c>
      <c r="AH69" s="182">
        <v>0</v>
      </c>
      <c r="AI69" s="182">
        <v>0</v>
      </c>
      <c r="AJ69" s="182">
        <v>0</v>
      </c>
      <c r="AL69" s="185">
        <f t="shared" si="5"/>
        <v>1</v>
      </c>
      <c r="AM69" s="185">
        <f t="shared" si="6"/>
        <v>0.1419</v>
      </c>
      <c r="AN69" s="185">
        <f t="shared" si="7"/>
        <v>0.12468000000000001</v>
      </c>
      <c r="AO69" s="185">
        <f t="shared" si="8"/>
        <v>0.19632000000000002</v>
      </c>
      <c r="AP69" s="185">
        <f t="shared" si="9"/>
        <v>5.5880000000000006E-2</v>
      </c>
      <c r="AQ69" s="185">
        <f t="shared" si="10"/>
        <v>0</v>
      </c>
      <c r="AR69" s="185">
        <f t="shared" si="11"/>
        <v>0</v>
      </c>
      <c r="AS69" s="185">
        <f t="shared" si="12"/>
        <v>0</v>
      </c>
      <c r="AT69" s="185">
        <f t="shared" si="13"/>
        <v>0</v>
      </c>
      <c r="AU69" s="185">
        <f t="shared" si="14"/>
        <v>0</v>
      </c>
      <c r="AV69" s="185">
        <f t="shared" si="15"/>
        <v>0</v>
      </c>
      <c r="AW69" s="185">
        <f t="shared" si="16"/>
        <v>0</v>
      </c>
      <c r="AX69" s="185">
        <f t="shared" si="17"/>
        <v>0</v>
      </c>
      <c r="AY69" s="185">
        <f t="shared" si="18"/>
        <v>0</v>
      </c>
      <c r="AZ69" s="185">
        <f t="shared" si="19"/>
        <v>0</v>
      </c>
      <c r="BA69" s="185">
        <f t="shared" si="20"/>
        <v>0</v>
      </c>
      <c r="BB69" s="185">
        <f t="shared" si="21"/>
        <v>0</v>
      </c>
      <c r="BC69" s="185">
        <f t="shared" si="22"/>
        <v>0</v>
      </c>
      <c r="BD69" s="185">
        <f t="shared" si="23"/>
        <v>0</v>
      </c>
      <c r="BE69" s="185">
        <f t="shared" si="24"/>
        <v>0</v>
      </c>
    </row>
    <row r="70" spans="1:57" s="90" customFormat="1" ht="15" hidden="1" customHeight="1" x14ac:dyDescent="0.25">
      <c r="A70" s="187" t="b">
        <v>1</v>
      </c>
      <c r="B70" s="188" t="b">
        <v>1</v>
      </c>
      <c r="C70" s="179" t="e">
        <f t="shared" si="0"/>
        <v>#N/A</v>
      </c>
      <c r="E70" s="180">
        <v>2041</v>
      </c>
      <c r="F70" s="100">
        <f t="shared" si="25"/>
        <v>70</v>
      </c>
      <c r="G70" s="181">
        <f t="shared" si="1"/>
        <v>-3</v>
      </c>
      <c r="H70" s="181" t="e">
        <f t="shared" si="4"/>
        <v>#N/A</v>
      </c>
      <c r="J70" s="182">
        <v>0.1</v>
      </c>
      <c r="K70" s="101"/>
      <c r="L70" s="183" t="e">
        <f t="shared" si="2"/>
        <v>#N/A</v>
      </c>
      <c r="M70" s="184"/>
      <c r="N70" s="91"/>
      <c r="O70" s="91"/>
      <c r="P70" s="90">
        <v>0</v>
      </c>
      <c r="Q70" s="87">
        <v>1</v>
      </c>
      <c r="R70" s="185">
        <v>0.1419</v>
      </c>
      <c r="S70" s="185">
        <v>0.12468000000000001</v>
      </c>
      <c r="T70" s="185">
        <v>0.19632000000000002</v>
      </c>
      <c r="U70" s="185">
        <v>5.5880000000000006E-2</v>
      </c>
      <c r="V70" s="182">
        <v>0</v>
      </c>
      <c r="W70" s="182">
        <v>0</v>
      </c>
      <c r="X70" s="182">
        <v>0</v>
      </c>
      <c r="Y70" s="182">
        <v>0</v>
      </c>
      <c r="Z70" s="182">
        <v>0</v>
      </c>
      <c r="AA70" s="182">
        <v>0</v>
      </c>
      <c r="AB70" s="182">
        <v>0</v>
      </c>
      <c r="AC70" s="182">
        <v>0</v>
      </c>
      <c r="AD70" s="182">
        <v>0</v>
      </c>
      <c r="AE70" s="182">
        <v>0</v>
      </c>
      <c r="AF70" s="182">
        <v>0</v>
      </c>
      <c r="AG70" s="182">
        <v>0</v>
      </c>
      <c r="AH70" s="182">
        <v>0</v>
      </c>
      <c r="AI70" s="182">
        <v>0</v>
      </c>
      <c r="AJ70" s="182">
        <v>0</v>
      </c>
      <c r="AL70" s="185">
        <f t="shared" si="5"/>
        <v>1</v>
      </c>
      <c r="AM70" s="185">
        <f t="shared" si="6"/>
        <v>0.1419</v>
      </c>
      <c r="AN70" s="185">
        <f t="shared" si="7"/>
        <v>0.12468000000000001</v>
      </c>
      <c r="AO70" s="185">
        <f t="shared" si="8"/>
        <v>0.19632000000000002</v>
      </c>
      <c r="AP70" s="185">
        <f t="shared" si="9"/>
        <v>5.5880000000000006E-2</v>
      </c>
      <c r="AQ70" s="185">
        <f t="shared" si="10"/>
        <v>0</v>
      </c>
      <c r="AR70" s="185">
        <f t="shared" si="11"/>
        <v>0</v>
      </c>
      <c r="AS70" s="185">
        <f t="shared" si="12"/>
        <v>0</v>
      </c>
      <c r="AT70" s="185">
        <f t="shared" si="13"/>
        <v>0</v>
      </c>
      <c r="AU70" s="185">
        <f t="shared" si="14"/>
        <v>0</v>
      </c>
      <c r="AV70" s="185">
        <f t="shared" si="15"/>
        <v>0</v>
      </c>
      <c r="AW70" s="185">
        <f t="shared" si="16"/>
        <v>0</v>
      </c>
      <c r="AX70" s="185">
        <f t="shared" si="17"/>
        <v>0</v>
      </c>
      <c r="AY70" s="185">
        <f t="shared" si="18"/>
        <v>0</v>
      </c>
      <c r="AZ70" s="185">
        <f t="shared" si="19"/>
        <v>0</v>
      </c>
      <c r="BA70" s="185">
        <f t="shared" si="20"/>
        <v>0</v>
      </c>
      <c r="BB70" s="185">
        <f t="shared" si="21"/>
        <v>0</v>
      </c>
      <c r="BC70" s="185">
        <f t="shared" si="22"/>
        <v>0</v>
      </c>
      <c r="BD70" s="185">
        <f t="shared" si="23"/>
        <v>0</v>
      </c>
      <c r="BE70" s="185">
        <f t="shared" si="24"/>
        <v>0</v>
      </c>
    </row>
    <row r="71" spans="1:57" s="90" customFormat="1" ht="15" hidden="1" customHeight="1" x14ac:dyDescent="0.25">
      <c r="A71" s="187" t="b">
        <v>1</v>
      </c>
      <c r="B71" s="188" t="b">
        <v>1</v>
      </c>
      <c r="C71" s="179" t="e">
        <f t="shared" si="0"/>
        <v>#N/A</v>
      </c>
      <c r="E71" s="180">
        <v>2042</v>
      </c>
      <c r="F71" s="100">
        <f t="shared" si="25"/>
        <v>71</v>
      </c>
      <c r="G71" s="181">
        <f t="shared" si="1"/>
        <v>-4</v>
      </c>
      <c r="H71" s="181" t="e">
        <f t="shared" si="4"/>
        <v>#N/A</v>
      </c>
      <c r="J71" s="182">
        <v>0.1</v>
      </c>
      <c r="K71" s="101"/>
      <c r="L71" s="183" t="e">
        <f t="shared" si="2"/>
        <v>#N/A</v>
      </c>
      <c r="M71" s="184"/>
      <c r="N71" s="91"/>
      <c r="O71" s="91"/>
      <c r="P71" s="90">
        <v>0</v>
      </c>
      <c r="Q71" s="87">
        <v>1</v>
      </c>
      <c r="R71" s="185">
        <v>0.1419</v>
      </c>
      <c r="S71" s="185">
        <v>0.12468000000000001</v>
      </c>
      <c r="T71" s="185">
        <v>0.19632000000000002</v>
      </c>
      <c r="U71" s="185">
        <v>5.5880000000000006E-2</v>
      </c>
      <c r="V71" s="182">
        <v>0</v>
      </c>
      <c r="W71" s="182">
        <v>0</v>
      </c>
      <c r="X71" s="182">
        <v>0</v>
      </c>
      <c r="Y71" s="182">
        <v>0</v>
      </c>
      <c r="Z71" s="182">
        <v>0</v>
      </c>
      <c r="AA71" s="182">
        <v>0</v>
      </c>
      <c r="AB71" s="182">
        <v>0</v>
      </c>
      <c r="AC71" s="182">
        <v>0</v>
      </c>
      <c r="AD71" s="182">
        <v>0</v>
      </c>
      <c r="AE71" s="182">
        <v>0</v>
      </c>
      <c r="AF71" s="182">
        <v>0</v>
      </c>
      <c r="AG71" s="182">
        <v>0</v>
      </c>
      <c r="AH71" s="182">
        <v>0</v>
      </c>
      <c r="AI71" s="182">
        <v>0</v>
      </c>
      <c r="AJ71" s="182">
        <v>0</v>
      </c>
      <c r="AL71" s="185">
        <f t="shared" si="5"/>
        <v>1</v>
      </c>
      <c r="AM71" s="185">
        <f t="shared" si="6"/>
        <v>0.1419</v>
      </c>
      <c r="AN71" s="185">
        <f t="shared" si="7"/>
        <v>0.12468000000000001</v>
      </c>
      <c r="AO71" s="185">
        <f t="shared" si="8"/>
        <v>0.19632000000000002</v>
      </c>
      <c r="AP71" s="185">
        <f t="shared" si="9"/>
        <v>5.5880000000000006E-2</v>
      </c>
      <c r="AQ71" s="185">
        <f t="shared" si="10"/>
        <v>0</v>
      </c>
      <c r="AR71" s="185">
        <f t="shared" si="11"/>
        <v>0</v>
      </c>
      <c r="AS71" s="185">
        <f t="shared" si="12"/>
        <v>0</v>
      </c>
      <c r="AT71" s="185">
        <f t="shared" si="13"/>
        <v>0</v>
      </c>
      <c r="AU71" s="185">
        <f t="shared" si="14"/>
        <v>0</v>
      </c>
      <c r="AV71" s="185">
        <f t="shared" si="15"/>
        <v>0</v>
      </c>
      <c r="AW71" s="185">
        <f t="shared" si="16"/>
        <v>0</v>
      </c>
      <c r="AX71" s="185">
        <f t="shared" si="17"/>
        <v>0</v>
      </c>
      <c r="AY71" s="185">
        <f t="shared" si="18"/>
        <v>0</v>
      </c>
      <c r="AZ71" s="185">
        <f t="shared" si="19"/>
        <v>0</v>
      </c>
      <c r="BA71" s="185">
        <f t="shared" si="20"/>
        <v>0</v>
      </c>
      <c r="BB71" s="185">
        <f t="shared" si="21"/>
        <v>0</v>
      </c>
      <c r="BC71" s="185">
        <f t="shared" si="22"/>
        <v>0</v>
      </c>
      <c r="BD71" s="185">
        <f t="shared" si="23"/>
        <v>0</v>
      </c>
      <c r="BE71" s="185">
        <f t="shared" si="24"/>
        <v>0</v>
      </c>
    </row>
    <row r="72" spans="1:57" s="90" customFormat="1" ht="15" hidden="1" customHeight="1" x14ac:dyDescent="0.25">
      <c r="A72" s="187" t="b">
        <v>1</v>
      </c>
      <c r="B72" s="188" t="b">
        <v>1</v>
      </c>
      <c r="C72" s="179" t="e">
        <f t="shared" si="0"/>
        <v>#N/A</v>
      </c>
      <c r="E72" s="180">
        <v>2043</v>
      </c>
      <c r="F72" s="100">
        <f t="shared" si="25"/>
        <v>72</v>
      </c>
      <c r="G72" s="181">
        <f t="shared" si="1"/>
        <v>-5</v>
      </c>
      <c r="H72" s="181" t="e">
        <f t="shared" si="4"/>
        <v>#N/A</v>
      </c>
      <c r="J72" s="182">
        <v>0.1</v>
      </c>
      <c r="K72" s="101"/>
      <c r="L72" s="183" t="e">
        <f t="shared" si="2"/>
        <v>#N/A</v>
      </c>
      <c r="M72" s="184"/>
      <c r="N72" s="91"/>
      <c r="O72" s="91"/>
      <c r="P72" s="90">
        <v>0</v>
      </c>
      <c r="Q72" s="87">
        <v>1</v>
      </c>
      <c r="R72" s="185">
        <v>0.1419</v>
      </c>
      <c r="S72" s="185">
        <v>0.13468000000000002</v>
      </c>
      <c r="T72" s="185">
        <v>0.19632000000000002</v>
      </c>
      <c r="U72" s="185">
        <v>6.5879999999999994E-2</v>
      </c>
      <c r="V72" s="182">
        <v>0</v>
      </c>
      <c r="W72" s="182">
        <v>0</v>
      </c>
      <c r="X72" s="182">
        <v>0</v>
      </c>
      <c r="Y72" s="182">
        <v>0</v>
      </c>
      <c r="Z72" s="182">
        <v>0</v>
      </c>
      <c r="AA72" s="182">
        <v>0</v>
      </c>
      <c r="AB72" s="182">
        <v>0</v>
      </c>
      <c r="AC72" s="182">
        <v>0</v>
      </c>
      <c r="AD72" s="182">
        <v>0</v>
      </c>
      <c r="AE72" s="182">
        <v>0</v>
      </c>
      <c r="AF72" s="182">
        <v>0</v>
      </c>
      <c r="AG72" s="182">
        <v>0</v>
      </c>
      <c r="AH72" s="182">
        <v>0</v>
      </c>
      <c r="AI72" s="182">
        <v>0</v>
      </c>
      <c r="AJ72" s="182">
        <v>0</v>
      </c>
      <c r="AL72" s="185">
        <f t="shared" si="5"/>
        <v>1</v>
      </c>
      <c r="AM72" s="185">
        <f t="shared" si="6"/>
        <v>0.1419</v>
      </c>
      <c r="AN72" s="185">
        <f t="shared" si="7"/>
        <v>0.13468000000000002</v>
      </c>
      <c r="AO72" s="185">
        <f t="shared" si="8"/>
        <v>0.19632000000000002</v>
      </c>
      <c r="AP72" s="185">
        <f t="shared" si="9"/>
        <v>6.5879999999999994E-2</v>
      </c>
      <c r="AQ72" s="185">
        <f t="shared" si="10"/>
        <v>0</v>
      </c>
      <c r="AR72" s="185">
        <f t="shared" si="11"/>
        <v>0</v>
      </c>
      <c r="AS72" s="185">
        <f t="shared" si="12"/>
        <v>0</v>
      </c>
      <c r="AT72" s="185">
        <f t="shared" si="13"/>
        <v>0</v>
      </c>
      <c r="AU72" s="185">
        <f t="shared" si="14"/>
        <v>0</v>
      </c>
      <c r="AV72" s="185">
        <f t="shared" si="15"/>
        <v>0</v>
      </c>
      <c r="AW72" s="185">
        <f t="shared" si="16"/>
        <v>0</v>
      </c>
      <c r="AX72" s="185">
        <f t="shared" si="17"/>
        <v>0</v>
      </c>
      <c r="AY72" s="185">
        <f t="shared" si="18"/>
        <v>0</v>
      </c>
      <c r="AZ72" s="185">
        <f t="shared" si="19"/>
        <v>0</v>
      </c>
      <c r="BA72" s="185">
        <f t="shared" si="20"/>
        <v>0</v>
      </c>
      <c r="BB72" s="185">
        <f t="shared" si="21"/>
        <v>0</v>
      </c>
      <c r="BC72" s="185">
        <f t="shared" si="22"/>
        <v>0</v>
      </c>
      <c r="BD72" s="185">
        <f t="shared" si="23"/>
        <v>0</v>
      </c>
      <c r="BE72" s="185">
        <f t="shared" si="24"/>
        <v>0</v>
      </c>
    </row>
    <row r="73" spans="1:57" s="90" customFormat="1" ht="15" hidden="1" customHeight="1" x14ac:dyDescent="0.25">
      <c r="A73" s="187" t="b">
        <v>1</v>
      </c>
      <c r="B73" s="188" t="b">
        <v>1</v>
      </c>
      <c r="C73" s="179" t="e">
        <f t="shared" si="0"/>
        <v>#N/A</v>
      </c>
      <c r="E73" s="180">
        <v>2044</v>
      </c>
      <c r="F73" s="100">
        <f t="shared" si="25"/>
        <v>73</v>
      </c>
      <c r="G73" s="181">
        <f t="shared" si="1"/>
        <v>-6</v>
      </c>
      <c r="H73" s="181" t="e">
        <f t="shared" si="4"/>
        <v>#N/A</v>
      </c>
      <c r="J73" s="182">
        <v>0.1</v>
      </c>
      <c r="K73" s="101"/>
      <c r="L73" s="183" t="e">
        <f t="shared" si="2"/>
        <v>#N/A</v>
      </c>
      <c r="M73" s="184"/>
      <c r="N73" s="91"/>
      <c r="O73" s="91"/>
      <c r="P73" s="90">
        <v>0</v>
      </c>
      <c r="Q73" s="87">
        <v>1</v>
      </c>
      <c r="R73" s="185">
        <v>0.1236</v>
      </c>
      <c r="S73" s="185">
        <v>0.18392</v>
      </c>
      <c r="T73" s="185">
        <v>0.19008</v>
      </c>
      <c r="U73" s="185">
        <v>8.6720000000000005E-2</v>
      </c>
      <c r="V73" s="182">
        <v>0</v>
      </c>
      <c r="W73" s="182">
        <v>0</v>
      </c>
      <c r="X73" s="182">
        <v>0</v>
      </c>
      <c r="Y73" s="182">
        <v>0</v>
      </c>
      <c r="Z73" s="182">
        <v>0</v>
      </c>
      <c r="AA73" s="182">
        <v>0</v>
      </c>
      <c r="AB73" s="182">
        <v>0</v>
      </c>
      <c r="AC73" s="182">
        <v>0</v>
      </c>
      <c r="AD73" s="182">
        <v>0</v>
      </c>
      <c r="AE73" s="182">
        <v>0</v>
      </c>
      <c r="AF73" s="182">
        <v>0</v>
      </c>
      <c r="AG73" s="182">
        <v>0</v>
      </c>
      <c r="AH73" s="182">
        <v>0</v>
      </c>
      <c r="AI73" s="182">
        <v>0</v>
      </c>
      <c r="AJ73" s="182">
        <v>0</v>
      </c>
      <c r="AL73" s="185">
        <f t="shared" si="5"/>
        <v>1</v>
      </c>
      <c r="AM73" s="185">
        <f t="shared" si="6"/>
        <v>0.1236</v>
      </c>
      <c r="AN73" s="185">
        <f t="shared" si="7"/>
        <v>0.18392</v>
      </c>
      <c r="AO73" s="185">
        <f t="shared" si="8"/>
        <v>0.19008</v>
      </c>
      <c r="AP73" s="185">
        <f t="shared" si="9"/>
        <v>8.6720000000000005E-2</v>
      </c>
      <c r="AQ73" s="185">
        <f t="shared" si="10"/>
        <v>0</v>
      </c>
      <c r="AR73" s="185">
        <f t="shared" si="11"/>
        <v>0</v>
      </c>
      <c r="AS73" s="185">
        <f t="shared" si="12"/>
        <v>0</v>
      </c>
      <c r="AT73" s="185">
        <f t="shared" si="13"/>
        <v>0</v>
      </c>
      <c r="AU73" s="185">
        <f t="shared" si="14"/>
        <v>0</v>
      </c>
      <c r="AV73" s="185">
        <f t="shared" si="15"/>
        <v>0</v>
      </c>
      <c r="AW73" s="185">
        <f t="shared" si="16"/>
        <v>0</v>
      </c>
      <c r="AX73" s="185">
        <f t="shared" si="17"/>
        <v>0</v>
      </c>
      <c r="AY73" s="185">
        <f t="shared" si="18"/>
        <v>0</v>
      </c>
      <c r="AZ73" s="185">
        <f t="shared" si="19"/>
        <v>0</v>
      </c>
      <c r="BA73" s="185">
        <f t="shared" si="20"/>
        <v>0</v>
      </c>
      <c r="BB73" s="185">
        <f t="shared" si="21"/>
        <v>0</v>
      </c>
      <c r="BC73" s="185">
        <f t="shared" si="22"/>
        <v>0</v>
      </c>
      <c r="BD73" s="185">
        <f t="shared" si="23"/>
        <v>0</v>
      </c>
      <c r="BE73" s="185">
        <f t="shared" si="24"/>
        <v>0</v>
      </c>
    </row>
    <row r="74" spans="1:57" s="90" customFormat="1" ht="15" hidden="1" customHeight="1" x14ac:dyDescent="0.25">
      <c r="A74" s="187" t="b">
        <v>1</v>
      </c>
      <c r="B74" s="188" t="b">
        <v>1</v>
      </c>
      <c r="C74" s="179" t="e">
        <f t="shared" si="0"/>
        <v>#N/A</v>
      </c>
      <c r="E74" s="180">
        <v>2045</v>
      </c>
      <c r="F74" s="100">
        <f t="shared" si="25"/>
        <v>74</v>
      </c>
      <c r="G74" s="181">
        <f t="shared" si="1"/>
        <v>-7</v>
      </c>
      <c r="H74" s="181" t="e">
        <f t="shared" si="4"/>
        <v>#N/A</v>
      </c>
      <c r="J74" s="182">
        <v>0.1</v>
      </c>
      <c r="K74" s="101"/>
      <c r="L74" s="183" t="e">
        <f t="shared" si="2"/>
        <v>#N/A</v>
      </c>
      <c r="M74" s="184"/>
      <c r="N74" s="91"/>
      <c r="O74" s="91"/>
      <c r="P74" s="90">
        <v>0</v>
      </c>
      <c r="Q74" s="87">
        <v>1</v>
      </c>
      <c r="R74" s="185">
        <v>0.11615</v>
      </c>
      <c r="S74" s="185">
        <v>0.23777999999999999</v>
      </c>
      <c r="T74" s="185">
        <v>0.16572000000000001</v>
      </c>
      <c r="U74" s="185">
        <v>0.10798000000000001</v>
      </c>
      <c r="V74" s="182">
        <v>0</v>
      </c>
      <c r="W74" s="182">
        <v>0</v>
      </c>
      <c r="X74" s="182">
        <v>0</v>
      </c>
      <c r="Y74" s="182">
        <v>0</v>
      </c>
      <c r="Z74" s="182">
        <v>0</v>
      </c>
      <c r="AA74" s="182">
        <v>0</v>
      </c>
      <c r="AB74" s="182">
        <v>0</v>
      </c>
      <c r="AC74" s="182">
        <v>0</v>
      </c>
      <c r="AD74" s="182">
        <v>0</v>
      </c>
      <c r="AE74" s="182">
        <v>0</v>
      </c>
      <c r="AF74" s="182">
        <v>0</v>
      </c>
      <c r="AG74" s="182">
        <v>0</v>
      </c>
      <c r="AH74" s="182">
        <v>0</v>
      </c>
      <c r="AI74" s="182">
        <v>0</v>
      </c>
      <c r="AJ74" s="182">
        <v>0</v>
      </c>
      <c r="AL74" s="185">
        <f t="shared" si="5"/>
        <v>1</v>
      </c>
      <c r="AM74" s="185">
        <f t="shared" si="6"/>
        <v>0.11615</v>
      </c>
      <c r="AN74" s="185">
        <f t="shared" si="7"/>
        <v>0.23777999999999999</v>
      </c>
      <c r="AO74" s="185">
        <f t="shared" si="8"/>
        <v>0.16572000000000001</v>
      </c>
      <c r="AP74" s="185">
        <f t="shared" si="9"/>
        <v>0.10798000000000001</v>
      </c>
      <c r="AQ74" s="185">
        <f t="shared" si="10"/>
        <v>0</v>
      </c>
      <c r="AR74" s="185">
        <f t="shared" si="11"/>
        <v>0</v>
      </c>
      <c r="AS74" s="185">
        <f t="shared" si="12"/>
        <v>0</v>
      </c>
      <c r="AT74" s="185">
        <f t="shared" si="13"/>
        <v>0</v>
      </c>
      <c r="AU74" s="185">
        <f t="shared" si="14"/>
        <v>0</v>
      </c>
      <c r="AV74" s="185">
        <f t="shared" si="15"/>
        <v>0</v>
      </c>
      <c r="AW74" s="185">
        <f t="shared" si="16"/>
        <v>0</v>
      </c>
      <c r="AX74" s="185">
        <f t="shared" si="17"/>
        <v>0</v>
      </c>
      <c r="AY74" s="185">
        <f t="shared" si="18"/>
        <v>0</v>
      </c>
      <c r="AZ74" s="185">
        <f t="shared" si="19"/>
        <v>0</v>
      </c>
      <c r="BA74" s="185">
        <f t="shared" si="20"/>
        <v>0</v>
      </c>
      <c r="BB74" s="185">
        <f t="shared" si="21"/>
        <v>0</v>
      </c>
      <c r="BC74" s="185">
        <f t="shared" si="22"/>
        <v>0</v>
      </c>
      <c r="BD74" s="185">
        <f t="shared" si="23"/>
        <v>0</v>
      </c>
      <c r="BE74" s="185">
        <f t="shared" si="24"/>
        <v>0</v>
      </c>
    </row>
    <row r="75" spans="1:57" s="90" customFormat="1" ht="15" hidden="1" customHeight="1" x14ac:dyDescent="0.25">
      <c r="A75" s="187" t="b">
        <v>1</v>
      </c>
      <c r="B75" s="188" t="b">
        <v>1</v>
      </c>
      <c r="C75" s="179" t="e">
        <f t="shared" si="0"/>
        <v>#N/A</v>
      </c>
      <c r="E75" s="180">
        <v>2046</v>
      </c>
      <c r="F75" s="100">
        <f t="shared" si="25"/>
        <v>75</v>
      </c>
      <c r="G75" s="181">
        <f t="shared" si="1"/>
        <v>-8</v>
      </c>
      <c r="H75" s="181" t="e">
        <f t="shared" si="4"/>
        <v>#N/A</v>
      </c>
      <c r="J75" s="182">
        <v>0.1</v>
      </c>
      <c r="K75" s="101"/>
      <c r="L75" s="183" t="e">
        <f t="shared" si="2"/>
        <v>#N/A</v>
      </c>
      <c r="M75" s="184"/>
      <c r="N75" s="91"/>
      <c r="O75" s="91"/>
      <c r="P75" s="90">
        <v>0</v>
      </c>
      <c r="Q75" s="87">
        <v>1</v>
      </c>
      <c r="R75" s="185">
        <v>9.870000000000001E-2</v>
      </c>
      <c r="S75" s="185">
        <v>0.27163999999999999</v>
      </c>
      <c r="T75" s="185">
        <v>0.15135999999999999</v>
      </c>
      <c r="U75" s="185">
        <v>0.13924</v>
      </c>
      <c r="V75" s="182">
        <v>0</v>
      </c>
      <c r="W75" s="182">
        <v>0</v>
      </c>
      <c r="X75" s="182">
        <v>0</v>
      </c>
      <c r="Y75" s="182">
        <v>0</v>
      </c>
      <c r="Z75" s="182">
        <v>0</v>
      </c>
      <c r="AA75" s="182">
        <v>0</v>
      </c>
      <c r="AB75" s="182">
        <v>0</v>
      </c>
      <c r="AC75" s="182">
        <v>0</v>
      </c>
      <c r="AD75" s="182">
        <v>0</v>
      </c>
      <c r="AE75" s="182">
        <v>0</v>
      </c>
      <c r="AF75" s="182">
        <v>0</v>
      </c>
      <c r="AG75" s="182">
        <v>0</v>
      </c>
      <c r="AH75" s="182">
        <v>0</v>
      </c>
      <c r="AI75" s="182">
        <v>0</v>
      </c>
      <c r="AJ75" s="182">
        <v>0</v>
      </c>
      <c r="AL75" s="185">
        <f t="shared" si="5"/>
        <v>1</v>
      </c>
      <c r="AM75" s="185">
        <f t="shared" si="6"/>
        <v>9.870000000000001E-2</v>
      </c>
      <c r="AN75" s="185">
        <f t="shared" si="7"/>
        <v>0.27163999999999999</v>
      </c>
      <c r="AO75" s="185">
        <f t="shared" si="8"/>
        <v>0.15135999999999999</v>
      </c>
      <c r="AP75" s="185">
        <f t="shared" si="9"/>
        <v>0.13924</v>
      </c>
      <c r="AQ75" s="185">
        <f t="shared" si="10"/>
        <v>0</v>
      </c>
      <c r="AR75" s="185">
        <f t="shared" si="11"/>
        <v>0</v>
      </c>
      <c r="AS75" s="185">
        <f t="shared" si="12"/>
        <v>0</v>
      </c>
      <c r="AT75" s="185">
        <f t="shared" si="13"/>
        <v>0</v>
      </c>
      <c r="AU75" s="185">
        <f t="shared" si="14"/>
        <v>0</v>
      </c>
      <c r="AV75" s="185">
        <f t="shared" si="15"/>
        <v>0</v>
      </c>
      <c r="AW75" s="185">
        <f t="shared" si="16"/>
        <v>0</v>
      </c>
      <c r="AX75" s="185">
        <f t="shared" si="17"/>
        <v>0</v>
      </c>
      <c r="AY75" s="185">
        <f t="shared" si="18"/>
        <v>0</v>
      </c>
      <c r="AZ75" s="185">
        <f t="shared" si="19"/>
        <v>0</v>
      </c>
      <c r="BA75" s="185">
        <f t="shared" si="20"/>
        <v>0</v>
      </c>
      <c r="BB75" s="185">
        <f t="shared" si="21"/>
        <v>0</v>
      </c>
      <c r="BC75" s="185">
        <f t="shared" si="22"/>
        <v>0</v>
      </c>
      <c r="BD75" s="185">
        <f t="shared" si="23"/>
        <v>0</v>
      </c>
      <c r="BE75" s="185">
        <f t="shared" si="24"/>
        <v>0</v>
      </c>
    </row>
    <row r="76" spans="1:57" s="90" customFormat="1" ht="15" hidden="1" customHeight="1" x14ac:dyDescent="0.25">
      <c r="A76" s="187" t="b">
        <v>1</v>
      </c>
      <c r="B76" s="188" t="b">
        <v>1</v>
      </c>
      <c r="C76" s="179" t="e">
        <f t="shared" si="0"/>
        <v>#N/A</v>
      </c>
      <c r="E76" s="180">
        <v>2047</v>
      </c>
      <c r="F76" s="100">
        <f t="shared" si="25"/>
        <v>76</v>
      </c>
      <c r="G76" s="181">
        <f t="shared" si="1"/>
        <v>-9</v>
      </c>
      <c r="H76" s="181" t="e">
        <f t="shared" si="4"/>
        <v>#N/A</v>
      </c>
      <c r="J76" s="182">
        <v>0.1</v>
      </c>
      <c r="K76" s="101"/>
      <c r="L76" s="183" t="e">
        <f t="shared" si="2"/>
        <v>#N/A</v>
      </c>
      <c r="M76" s="184"/>
      <c r="N76" s="91"/>
      <c r="O76" s="91"/>
      <c r="P76" s="90">
        <v>0</v>
      </c>
      <c r="Q76" s="87">
        <v>1</v>
      </c>
      <c r="R76" s="185">
        <v>9.0400000000000008E-2</v>
      </c>
      <c r="S76" s="185">
        <v>0.31088000000000005</v>
      </c>
      <c r="T76" s="185">
        <v>0.14512</v>
      </c>
      <c r="U76" s="185">
        <v>0.15008000000000002</v>
      </c>
      <c r="V76" s="182">
        <v>0</v>
      </c>
      <c r="W76" s="182">
        <v>0</v>
      </c>
      <c r="X76" s="182">
        <v>0</v>
      </c>
      <c r="Y76" s="182">
        <v>0</v>
      </c>
      <c r="Z76" s="182">
        <v>0</v>
      </c>
      <c r="AA76" s="182">
        <v>0</v>
      </c>
      <c r="AB76" s="182">
        <v>0</v>
      </c>
      <c r="AC76" s="182">
        <v>0</v>
      </c>
      <c r="AD76" s="182">
        <v>0</v>
      </c>
      <c r="AE76" s="182">
        <v>0</v>
      </c>
      <c r="AF76" s="182">
        <v>0</v>
      </c>
      <c r="AG76" s="182">
        <v>0</v>
      </c>
      <c r="AH76" s="182">
        <v>0</v>
      </c>
      <c r="AI76" s="182">
        <v>0</v>
      </c>
      <c r="AJ76" s="182">
        <v>0</v>
      </c>
      <c r="AL76" s="185">
        <f t="shared" si="5"/>
        <v>1</v>
      </c>
      <c r="AM76" s="185">
        <f t="shared" si="6"/>
        <v>9.0400000000000008E-2</v>
      </c>
      <c r="AN76" s="185">
        <f t="shared" si="7"/>
        <v>0.31088000000000005</v>
      </c>
      <c r="AO76" s="185">
        <f t="shared" si="8"/>
        <v>0.14512</v>
      </c>
      <c r="AP76" s="185">
        <f t="shared" si="9"/>
        <v>0.15008000000000002</v>
      </c>
      <c r="AQ76" s="185">
        <f t="shared" si="10"/>
        <v>0</v>
      </c>
      <c r="AR76" s="185">
        <f t="shared" si="11"/>
        <v>0</v>
      </c>
      <c r="AS76" s="185">
        <f t="shared" si="12"/>
        <v>0</v>
      </c>
      <c r="AT76" s="185">
        <f t="shared" si="13"/>
        <v>0</v>
      </c>
      <c r="AU76" s="185">
        <f t="shared" si="14"/>
        <v>0</v>
      </c>
      <c r="AV76" s="185">
        <f t="shared" si="15"/>
        <v>0</v>
      </c>
      <c r="AW76" s="185">
        <f t="shared" si="16"/>
        <v>0</v>
      </c>
      <c r="AX76" s="185">
        <f t="shared" si="17"/>
        <v>0</v>
      </c>
      <c r="AY76" s="185">
        <f t="shared" si="18"/>
        <v>0</v>
      </c>
      <c r="AZ76" s="185">
        <f t="shared" si="19"/>
        <v>0</v>
      </c>
      <c r="BA76" s="185">
        <f t="shared" si="20"/>
        <v>0</v>
      </c>
      <c r="BB76" s="185">
        <f t="shared" si="21"/>
        <v>0</v>
      </c>
      <c r="BC76" s="185">
        <f t="shared" si="22"/>
        <v>0</v>
      </c>
      <c r="BD76" s="185">
        <f t="shared" si="23"/>
        <v>0</v>
      </c>
      <c r="BE76" s="185">
        <f t="shared" si="24"/>
        <v>0</v>
      </c>
    </row>
    <row r="77" spans="1:57" s="90" customFormat="1" ht="15" hidden="1" customHeight="1" x14ac:dyDescent="0.25">
      <c r="A77" s="187" t="b">
        <v>1</v>
      </c>
      <c r="B77" s="188" t="b">
        <v>1</v>
      </c>
      <c r="C77" s="179" t="e">
        <f t="shared" si="0"/>
        <v>#N/A</v>
      </c>
      <c r="E77" s="180">
        <v>2048</v>
      </c>
      <c r="F77" s="100">
        <f t="shared" si="25"/>
        <v>77</v>
      </c>
      <c r="G77" s="181">
        <f t="shared" si="1"/>
        <v>-10</v>
      </c>
      <c r="H77" s="181" t="e">
        <f t="shared" si="4"/>
        <v>#N/A</v>
      </c>
      <c r="J77" s="182">
        <v>0.1</v>
      </c>
      <c r="K77" s="101"/>
      <c r="L77" s="183" t="e">
        <f t="shared" si="2"/>
        <v>#N/A</v>
      </c>
      <c r="M77" s="184"/>
      <c r="N77" s="91"/>
      <c r="O77" s="91"/>
      <c r="P77" s="90">
        <v>0</v>
      </c>
      <c r="Q77" s="87">
        <v>1</v>
      </c>
      <c r="R77" s="185">
        <v>8.2949999999999996E-2</v>
      </c>
      <c r="S77" s="185">
        <v>0.35474000000000006</v>
      </c>
      <c r="T77" s="185">
        <v>0.13076000000000002</v>
      </c>
      <c r="U77" s="185">
        <v>0.17133999999999999</v>
      </c>
      <c r="V77" s="182">
        <v>0</v>
      </c>
      <c r="W77" s="182">
        <v>0</v>
      </c>
      <c r="X77" s="182">
        <v>0</v>
      </c>
      <c r="Y77" s="182">
        <v>0</v>
      </c>
      <c r="Z77" s="182">
        <v>0</v>
      </c>
      <c r="AA77" s="182">
        <v>0</v>
      </c>
      <c r="AB77" s="182">
        <v>0</v>
      </c>
      <c r="AC77" s="182">
        <v>0</v>
      </c>
      <c r="AD77" s="182">
        <v>0</v>
      </c>
      <c r="AE77" s="182">
        <v>0</v>
      </c>
      <c r="AF77" s="182">
        <v>0</v>
      </c>
      <c r="AG77" s="182">
        <v>0</v>
      </c>
      <c r="AH77" s="182">
        <v>0</v>
      </c>
      <c r="AI77" s="182">
        <v>0</v>
      </c>
      <c r="AJ77" s="182">
        <v>0</v>
      </c>
      <c r="AL77" s="185">
        <f t="shared" si="5"/>
        <v>1</v>
      </c>
      <c r="AM77" s="185">
        <f t="shared" si="6"/>
        <v>8.2949999999999996E-2</v>
      </c>
      <c r="AN77" s="185">
        <f t="shared" si="7"/>
        <v>0.35474000000000006</v>
      </c>
      <c r="AO77" s="185">
        <f t="shared" si="8"/>
        <v>0.13076000000000002</v>
      </c>
      <c r="AP77" s="185">
        <f t="shared" si="9"/>
        <v>0.17133999999999999</v>
      </c>
      <c r="AQ77" s="185">
        <f t="shared" si="10"/>
        <v>0</v>
      </c>
      <c r="AR77" s="185">
        <f t="shared" si="11"/>
        <v>0</v>
      </c>
      <c r="AS77" s="185">
        <f t="shared" si="12"/>
        <v>0</v>
      </c>
      <c r="AT77" s="185">
        <f t="shared" si="13"/>
        <v>0</v>
      </c>
      <c r="AU77" s="185">
        <f t="shared" si="14"/>
        <v>0</v>
      </c>
      <c r="AV77" s="185">
        <f t="shared" si="15"/>
        <v>0</v>
      </c>
      <c r="AW77" s="185">
        <f t="shared" si="16"/>
        <v>0</v>
      </c>
      <c r="AX77" s="185">
        <f t="shared" si="17"/>
        <v>0</v>
      </c>
      <c r="AY77" s="185">
        <f t="shared" si="18"/>
        <v>0</v>
      </c>
      <c r="AZ77" s="185">
        <f t="shared" si="19"/>
        <v>0</v>
      </c>
      <c r="BA77" s="185">
        <f t="shared" si="20"/>
        <v>0</v>
      </c>
      <c r="BB77" s="185">
        <f t="shared" si="21"/>
        <v>0</v>
      </c>
      <c r="BC77" s="185">
        <f t="shared" si="22"/>
        <v>0</v>
      </c>
      <c r="BD77" s="185">
        <f t="shared" si="23"/>
        <v>0</v>
      </c>
      <c r="BE77" s="185">
        <f t="shared" si="24"/>
        <v>0</v>
      </c>
    </row>
    <row r="78" spans="1:57" s="90" customFormat="1" ht="15" hidden="1" customHeight="1" x14ac:dyDescent="0.25">
      <c r="A78" s="187" t="b">
        <v>1</v>
      </c>
      <c r="B78" s="188" t="b">
        <v>1</v>
      </c>
      <c r="C78" s="179" t="e">
        <f t="shared" si="0"/>
        <v>#N/A</v>
      </c>
      <c r="E78" s="180">
        <v>2049</v>
      </c>
      <c r="F78" s="100">
        <f t="shared" si="25"/>
        <v>78</v>
      </c>
      <c r="G78" s="181">
        <f t="shared" si="1"/>
        <v>-11</v>
      </c>
      <c r="H78" s="181" t="e">
        <f t="shared" si="4"/>
        <v>#N/A</v>
      </c>
      <c r="J78" s="182">
        <v>0.1</v>
      </c>
      <c r="K78" s="101"/>
      <c r="L78" s="183" t="e">
        <f t="shared" si="2"/>
        <v>#N/A</v>
      </c>
      <c r="M78" s="184"/>
      <c r="N78" s="91"/>
      <c r="O78" s="91"/>
      <c r="P78" s="90">
        <v>0</v>
      </c>
      <c r="Q78" s="87">
        <v>1</v>
      </c>
      <c r="R78" s="185">
        <v>7.4650000000000008E-2</v>
      </c>
      <c r="S78" s="185">
        <v>0.39398</v>
      </c>
      <c r="T78" s="185">
        <v>0.12452000000000001</v>
      </c>
      <c r="U78" s="185">
        <v>0.19217999999999999</v>
      </c>
      <c r="V78" s="182">
        <v>0</v>
      </c>
      <c r="W78" s="182">
        <v>0</v>
      </c>
      <c r="X78" s="182">
        <v>0</v>
      </c>
      <c r="Y78" s="182">
        <v>0</v>
      </c>
      <c r="Z78" s="182">
        <v>0</v>
      </c>
      <c r="AA78" s="182">
        <v>0</v>
      </c>
      <c r="AB78" s="182">
        <v>0</v>
      </c>
      <c r="AC78" s="182">
        <v>0</v>
      </c>
      <c r="AD78" s="182">
        <v>0</v>
      </c>
      <c r="AE78" s="182">
        <v>0</v>
      </c>
      <c r="AF78" s="182">
        <v>0</v>
      </c>
      <c r="AG78" s="182">
        <v>0</v>
      </c>
      <c r="AH78" s="182">
        <v>0</v>
      </c>
      <c r="AI78" s="182">
        <v>0</v>
      </c>
      <c r="AJ78" s="182">
        <v>0</v>
      </c>
      <c r="AL78" s="185">
        <f t="shared" si="5"/>
        <v>1</v>
      </c>
      <c r="AM78" s="185">
        <f t="shared" si="6"/>
        <v>7.4650000000000008E-2</v>
      </c>
      <c r="AN78" s="185">
        <f t="shared" si="7"/>
        <v>0.39398</v>
      </c>
      <c r="AO78" s="185">
        <f t="shared" si="8"/>
        <v>0.12452000000000001</v>
      </c>
      <c r="AP78" s="185">
        <f t="shared" si="9"/>
        <v>0.19217999999999999</v>
      </c>
      <c r="AQ78" s="185">
        <f t="shared" si="10"/>
        <v>0</v>
      </c>
      <c r="AR78" s="185">
        <f t="shared" si="11"/>
        <v>0</v>
      </c>
      <c r="AS78" s="185">
        <f t="shared" si="12"/>
        <v>0</v>
      </c>
      <c r="AT78" s="185">
        <f t="shared" si="13"/>
        <v>0</v>
      </c>
      <c r="AU78" s="185">
        <f t="shared" si="14"/>
        <v>0</v>
      </c>
      <c r="AV78" s="185">
        <f t="shared" si="15"/>
        <v>0</v>
      </c>
      <c r="AW78" s="185">
        <f t="shared" si="16"/>
        <v>0</v>
      </c>
      <c r="AX78" s="185">
        <f t="shared" si="17"/>
        <v>0</v>
      </c>
      <c r="AY78" s="185">
        <f t="shared" si="18"/>
        <v>0</v>
      </c>
      <c r="AZ78" s="185">
        <f t="shared" si="19"/>
        <v>0</v>
      </c>
      <c r="BA78" s="185">
        <f t="shared" si="20"/>
        <v>0</v>
      </c>
      <c r="BB78" s="185">
        <f t="shared" si="21"/>
        <v>0</v>
      </c>
      <c r="BC78" s="185">
        <f t="shared" si="22"/>
        <v>0</v>
      </c>
      <c r="BD78" s="185">
        <f t="shared" si="23"/>
        <v>0</v>
      </c>
      <c r="BE78" s="185">
        <f t="shared" si="24"/>
        <v>0</v>
      </c>
    </row>
    <row r="79" spans="1:57" s="90" customFormat="1" ht="15" hidden="1" customHeight="1" x14ac:dyDescent="0.25">
      <c r="A79" s="187" t="b">
        <v>1</v>
      </c>
      <c r="B79" s="188" t="b">
        <v>1</v>
      </c>
      <c r="C79" s="179" t="e">
        <f t="shared" ref="C79:C110" si="26">INDEX(CareerWageGrowthData,MATCH(MIN(F79, MAX(CareerAge)),CareerAge,0),MATCH(CountryAbbrev,CareerCountries,0))</f>
        <v>#N/A</v>
      </c>
      <c r="E79" s="180">
        <v>2050</v>
      </c>
      <c r="F79" s="100">
        <f t="shared" si="25"/>
        <v>79</v>
      </c>
      <c r="G79" s="181">
        <f t="shared" ref="G79:G110" si="27">Pension_age-F79</f>
        <v>-12</v>
      </c>
      <c r="H79" s="181" t="e">
        <f t="shared" si="4"/>
        <v>#N/A</v>
      </c>
      <c r="J79" s="182">
        <v>0.1</v>
      </c>
      <c r="K79" s="101"/>
      <c r="L79" s="183" t="e">
        <f t="shared" ref="L79:L110" si="28">IF($M79="",$C79,$M79)</f>
        <v>#N/A</v>
      </c>
      <c r="M79" s="184"/>
      <c r="N79" s="91"/>
      <c r="O79" s="91"/>
      <c r="P79" s="90">
        <v>0</v>
      </c>
      <c r="Q79" s="87">
        <v>1</v>
      </c>
      <c r="R79" s="185">
        <v>3.3399999999999999E-2</v>
      </c>
      <c r="S79" s="185">
        <v>3.848E-2</v>
      </c>
      <c r="T79" s="185">
        <v>4.752E-2</v>
      </c>
      <c r="U79" s="185">
        <v>0.76168000000000002</v>
      </c>
      <c r="V79" s="182">
        <v>0</v>
      </c>
      <c r="W79" s="182">
        <v>0</v>
      </c>
      <c r="X79" s="182">
        <v>0</v>
      </c>
      <c r="Y79" s="182">
        <v>0</v>
      </c>
      <c r="Z79" s="182">
        <v>0</v>
      </c>
      <c r="AA79" s="182">
        <v>0</v>
      </c>
      <c r="AB79" s="182">
        <v>0</v>
      </c>
      <c r="AC79" s="182">
        <v>0</v>
      </c>
      <c r="AD79" s="182">
        <v>0</v>
      </c>
      <c r="AE79" s="182">
        <v>0</v>
      </c>
      <c r="AF79" s="182">
        <v>0</v>
      </c>
      <c r="AG79" s="182">
        <v>0</v>
      </c>
      <c r="AH79" s="182">
        <v>0</v>
      </c>
      <c r="AI79" s="182">
        <v>0</v>
      </c>
      <c r="AJ79" s="182">
        <v>0</v>
      </c>
      <c r="AL79" s="185">
        <f t="shared" si="5"/>
        <v>1</v>
      </c>
      <c r="AM79" s="185">
        <f t="shared" si="6"/>
        <v>3.3399999999999999E-2</v>
      </c>
      <c r="AN79" s="185">
        <f t="shared" si="7"/>
        <v>3.848E-2</v>
      </c>
      <c r="AO79" s="185">
        <f t="shared" si="8"/>
        <v>4.752E-2</v>
      </c>
      <c r="AP79" s="185">
        <f t="shared" si="9"/>
        <v>0.76168000000000002</v>
      </c>
      <c r="AQ79" s="185">
        <f t="shared" si="10"/>
        <v>0</v>
      </c>
      <c r="AR79" s="185">
        <f t="shared" si="11"/>
        <v>0</v>
      </c>
      <c r="AS79" s="185">
        <f t="shared" si="12"/>
        <v>0</v>
      </c>
      <c r="AT79" s="185">
        <f t="shared" si="13"/>
        <v>0</v>
      </c>
      <c r="AU79" s="185">
        <f t="shared" si="14"/>
        <v>0</v>
      </c>
      <c r="AV79" s="185">
        <f t="shared" si="15"/>
        <v>0</v>
      </c>
      <c r="AW79" s="185">
        <f t="shared" si="16"/>
        <v>0</v>
      </c>
      <c r="AX79" s="185">
        <f t="shared" si="17"/>
        <v>0</v>
      </c>
      <c r="AY79" s="185">
        <f t="shared" si="18"/>
        <v>0</v>
      </c>
      <c r="AZ79" s="185">
        <f t="shared" si="19"/>
        <v>0</v>
      </c>
      <c r="BA79" s="185">
        <f t="shared" si="20"/>
        <v>0</v>
      </c>
      <c r="BB79" s="185">
        <f t="shared" si="21"/>
        <v>0</v>
      </c>
      <c r="BC79" s="185">
        <f t="shared" si="22"/>
        <v>0</v>
      </c>
      <c r="BD79" s="185">
        <f t="shared" si="23"/>
        <v>0</v>
      </c>
      <c r="BE79" s="185">
        <f t="shared" si="24"/>
        <v>0</v>
      </c>
    </row>
    <row r="80" spans="1:57" s="90" customFormat="1" ht="15" hidden="1" customHeight="1" x14ac:dyDescent="0.25">
      <c r="A80" s="187" t="b">
        <v>1</v>
      </c>
      <c r="B80" s="188" t="b">
        <v>1</v>
      </c>
      <c r="C80" s="179" t="e">
        <f t="shared" si="26"/>
        <v>#N/A</v>
      </c>
      <c r="E80" s="180">
        <v>2051</v>
      </c>
      <c r="F80" s="100">
        <f t="shared" si="25"/>
        <v>80</v>
      </c>
      <c r="G80" s="181">
        <f t="shared" si="27"/>
        <v>-13</v>
      </c>
      <c r="H80" s="181" t="e">
        <f t="shared" ref="H80:H111" si="29">H79*(1+L80)*(1+Projection_real_wage_growth)</f>
        <v>#N/A</v>
      </c>
      <c r="J80" s="182">
        <v>0.1</v>
      </c>
      <c r="K80" s="101"/>
      <c r="L80" s="183" t="e">
        <f t="shared" si="28"/>
        <v>#N/A</v>
      </c>
      <c r="M80" s="184"/>
      <c r="N80" s="91"/>
      <c r="O80" s="91"/>
      <c r="P80" s="90">
        <v>0</v>
      </c>
      <c r="Q80" s="87">
        <v>1</v>
      </c>
      <c r="R80" s="185">
        <v>2.2550000000000001E-2</v>
      </c>
      <c r="S80" s="185">
        <v>2.3859999999999999E-2</v>
      </c>
      <c r="T80" s="185">
        <v>2.564E-2</v>
      </c>
      <c r="U80" s="185">
        <v>0.86126000000000003</v>
      </c>
      <c r="V80" s="182">
        <v>0</v>
      </c>
      <c r="W80" s="182">
        <v>0</v>
      </c>
      <c r="X80" s="182">
        <v>0</v>
      </c>
      <c r="Y80" s="182">
        <v>0</v>
      </c>
      <c r="Z80" s="182">
        <v>0</v>
      </c>
      <c r="AA80" s="182">
        <v>0</v>
      </c>
      <c r="AB80" s="182">
        <v>0</v>
      </c>
      <c r="AC80" s="182">
        <v>0</v>
      </c>
      <c r="AD80" s="182">
        <v>0</v>
      </c>
      <c r="AE80" s="182">
        <v>0</v>
      </c>
      <c r="AF80" s="182">
        <v>0</v>
      </c>
      <c r="AG80" s="182">
        <v>0</v>
      </c>
      <c r="AH80" s="182">
        <v>0</v>
      </c>
      <c r="AI80" s="182">
        <v>0</v>
      </c>
      <c r="AJ80" s="182">
        <v>0</v>
      </c>
      <c r="AL80" s="185">
        <f t="shared" ref="AL80:AL111" si="30">Q80</f>
        <v>1</v>
      </c>
      <c r="AM80" s="185">
        <f t="shared" ref="AM80:AM111" si="31">R80</f>
        <v>2.2550000000000001E-2</v>
      </c>
      <c r="AN80" s="185">
        <f t="shared" ref="AN80:AN111" si="32">S80</f>
        <v>2.3859999999999999E-2</v>
      </c>
      <c r="AO80" s="185">
        <f t="shared" ref="AO80:AO111" si="33">T80</f>
        <v>2.564E-2</v>
      </c>
      <c r="AP80" s="185">
        <f t="shared" ref="AP80:AP111" si="34">U80</f>
        <v>0.86126000000000003</v>
      </c>
      <c r="AQ80" s="185">
        <f t="shared" ref="AQ80:AQ111" si="35">V80</f>
        <v>0</v>
      </c>
      <c r="AR80" s="185">
        <f t="shared" ref="AR80:AR111" si="36">W80</f>
        <v>0</v>
      </c>
      <c r="AS80" s="185">
        <f t="shared" ref="AS80:AS111" si="37">X80</f>
        <v>0</v>
      </c>
      <c r="AT80" s="185">
        <f t="shared" ref="AT80:AT111" si="38">Y80</f>
        <v>0</v>
      </c>
      <c r="AU80" s="185">
        <f t="shared" ref="AU80:AU111" si="39">Z80</f>
        <v>0</v>
      </c>
      <c r="AV80" s="185">
        <f t="shared" ref="AV80:AV111" si="40">AA80</f>
        <v>0</v>
      </c>
      <c r="AW80" s="185">
        <f t="shared" ref="AW80:AW111" si="41">AB80</f>
        <v>0</v>
      </c>
      <c r="AX80" s="185">
        <f t="shared" ref="AX80:AX111" si="42">AC80</f>
        <v>0</v>
      </c>
      <c r="AY80" s="185">
        <f t="shared" ref="AY80:AY111" si="43">AD80</f>
        <v>0</v>
      </c>
      <c r="AZ80" s="185">
        <f t="shared" ref="AZ80:AZ111" si="44">AE80</f>
        <v>0</v>
      </c>
      <c r="BA80" s="185">
        <f t="shared" ref="BA80:BA111" si="45">AF80</f>
        <v>0</v>
      </c>
      <c r="BB80" s="185">
        <f t="shared" ref="BB80:BB111" si="46">AG80</f>
        <v>0</v>
      </c>
      <c r="BC80" s="185">
        <f t="shared" ref="BC80:BC111" si="47">AH80</f>
        <v>0</v>
      </c>
      <c r="BD80" s="185">
        <f t="shared" si="23"/>
        <v>0</v>
      </c>
      <c r="BE80" s="185">
        <f t="shared" si="24"/>
        <v>0</v>
      </c>
    </row>
    <row r="81" spans="1:57" s="90" customFormat="1" ht="15" hidden="1" customHeight="1" x14ac:dyDescent="0.25">
      <c r="A81" s="187" t="b">
        <v>1</v>
      </c>
      <c r="B81" s="188" t="b">
        <v>1</v>
      </c>
      <c r="C81" s="179" t="e">
        <f t="shared" si="26"/>
        <v>#N/A</v>
      </c>
      <c r="E81" s="180">
        <v>2052</v>
      </c>
      <c r="F81" s="100">
        <f t="shared" si="25"/>
        <v>81</v>
      </c>
      <c r="G81" s="181">
        <f t="shared" si="27"/>
        <v>-14</v>
      </c>
      <c r="H81" s="181" t="e">
        <f t="shared" si="29"/>
        <v>#N/A</v>
      </c>
      <c r="J81" s="182">
        <v>0.1</v>
      </c>
      <c r="K81" s="101"/>
      <c r="L81" s="183" t="e">
        <f t="shared" si="28"/>
        <v>#N/A</v>
      </c>
      <c r="M81" s="184"/>
      <c r="N81" s="91"/>
      <c r="O81" s="91"/>
      <c r="P81" s="90">
        <v>0</v>
      </c>
      <c r="Q81" s="87">
        <v>1</v>
      </c>
      <c r="R81" s="185">
        <v>1.085E-2</v>
      </c>
      <c r="S81" s="185">
        <v>4.62E-3</v>
      </c>
      <c r="T81" s="185">
        <v>1.188E-2</v>
      </c>
      <c r="U81" s="185">
        <v>0.95041999999999993</v>
      </c>
      <c r="V81" s="182">
        <v>0</v>
      </c>
      <c r="W81" s="182">
        <v>0</v>
      </c>
      <c r="X81" s="182">
        <v>0</v>
      </c>
      <c r="Y81" s="182">
        <v>0</v>
      </c>
      <c r="Z81" s="182">
        <v>0</v>
      </c>
      <c r="AA81" s="182">
        <v>0</v>
      </c>
      <c r="AB81" s="182">
        <v>0</v>
      </c>
      <c r="AC81" s="182">
        <v>0</v>
      </c>
      <c r="AD81" s="182">
        <v>0</v>
      </c>
      <c r="AE81" s="182">
        <v>0</v>
      </c>
      <c r="AF81" s="182">
        <v>0</v>
      </c>
      <c r="AG81" s="182">
        <v>0</v>
      </c>
      <c r="AH81" s="182">
        <v>0</v>
      </c>
      <c r="AI81" s="182">
        <v>0</v>
      </c>
      <c r="AJ81" s="182">
        <v>0</v>
      </c>
      <c r="AL81" s="185">
        <f t="shared" si="30"/>
        <v>1</v>
      </c>
      <c r="AM81" s="185">
        <f t="shared" si="31"/>
        <v>1.085E-2</v>
      </c>
      <c r="AN81" s="185">
        <f t="shared" si="32"/>
        <v>4.62E-3</v>
      </c>
      <c r="AO81" s="185">
        <f t="shared" si="33"/>
        <v>1.188E-2</v>
      </c>
      <c r="AP81" s="185">
        <f t="shared" si="34"/>
        <v>0.95041999999999993</v>
      </c>
      <c r="AQ81" s="185">
        <f t="shared" si="35"/>
        <v>0</v>
      </c>
      <c r="AR81" s="185">
        <f t="shared" si="36"/>
        <v>0</v>
      </c>
      <c r="AS81" s="185">
        <f t="shared" si="37"/>
        <v>0</v>
      </c>
      <c r="AT81" s="185">
        <f t="shared" si="38"/>
        <v>0</v>
      </c>
      <c r="AU81" s="185">
        <f t="shared" si="39"/>
        <v>0</v>
      </c>
      <c r="AV81" s="185">
        <f t="shared" si="40"/>
        <v>0</v>
      </c>
      <c r="AW81" s="185">
        <f t="shared" si="41"/>
        <v>0</v>
      </c>
      <c r="AX81" s="185">
        <f t="shared" si="42"/>
        <v>0</v>
      </c>
      <c r="AY81" s="185">
        <f t="shared" si="43"/>
        <v>0</v>
      </c>
      <c r="AZ81" s="185">
        <f t="shared" si="44"/>
        <v>0</v>
      </c>
      <c r="BA81" s="185">
        <f t="shared" si="45"/>
        <v>0</v>
      </c>
      <c r="BB81" s="185">
        <f t="shared" si="46"/>
        <v>0</v>
      </c>
      <c r="BC81" s="185">
        <f t="shared" si="47"/>
        <v>0</v>
      </c>
      <c r="BD81" s="185">
        <f t="shared" si="23"/>
        <v>0</v>
      </c>
      <c r="BE81" s="185">
        <f t="shared" si="24"/>
        <v>0</v>
      </c>
    </row>
    <row r="82" spans="1:57" s="90" customFormat="1" ht="15" hidden="1" customHeight="1" x14ac:dyDescent="0.25">
      <c r="A82" s="187" t="b">
        <v>1</v>
      </c>
      <c r="B82" s="188" t="b">
        <v>1</v>
      </c>
      <c r="C82" s="179" t="e">
        <f t="shared" si="26"/>
        <v>#N/A</v>
      </c>
      <c r="E82" s="180">
        <v>2053</v>
      </c>
      <c r="F82" s="100">
        <f t="shared" si="25"/>
        <v>82</v>
      </c>
      <c r="G82" s="181">
        <f t="shared" si="27"/>
        <v>-15</v>
      </c>
      <c r="H82" s="181" t="e">
        <f t="shared" si="29"/>
        <v>#N/A</v>
      </c>
      <c r="J82" s="182">
        <v>0.1</v>
      </c>
      <c r="K82" s="101"/>
      <c r="L82" s="183" t="e">
        <f t="shared" si="28"/>
        <v>#N/A</v>
      </c>
      <c r="M82" s="184"/>
      <c r="N82" s="91"/>
      <c r="O82" s="91"/>
      <c r="P82" s="90">
        <v>0</v>
      </c>
      <c r="Q82" s="87">
        <v>1</v>
      </c>
      <c r="R82" s="185">
        <v>0</v>
      </c>
      <c r="S82" s="185">
        <v>0</v>
      </c>
      <c r="T82" s="185">
        <v>0</v>
      </c>
      <c r="U82" s="185">
        <v>1</v>
      </c>
      <c r="V82" s="182">
        <v>0</v>
      </c>
      <c r="W82" s="182">
        <v>0</v>
      </c>
      <c r="X82" s="182">
        <v>0</v>
      </c>
      <c r="Y82" s="182">
        <v>0</v>
      </c>
      <c r="Z82" s="182">
        <v>0</v>
      </c>
      <c r="AA82" s="182">
        <v>0</v>
      </c>
      <c r="AB82" s="182">
        <v>0</v>
      </c>
      <c r="AC82" s="182">
        <v>0</v>
      </c>
      <c r="AD82" s="182">
        <v>0</v>
      </c>
      <c r="AE82" s="182">
        <v>0</v>
      </c>
      <c r="AF82" s="182">
        <v>0</v>
      </c>
      <c r="AG82" s="182">
        <v>0</v>
      </c>
      <c r="AH82" s="182">
        <v>0</v>
      </c>
      <c r="AI82" s="182">
        <v>0</v>
      </c>
      <c r="AJ82" s="182">
        <v>0</v>
      </c>
      <c r="AL82" s="185">
        <f t="shared" si="30"/>
        <v>1</v>
      </c>
      <c r="AM82" s="185">
        <f t="shared" si="31"/>
        <v>0</v>
      </c>
      <c r="AN82" s="185">
        <f t="shared" si="32"/>
        <v>0</v>
      </c>
      <c r="AO82" s="185">
        <f t="shared" si="33"/>
        <v>0</v>
      </c>
      <c r="AP82" s="185">
        <f t="shared" si="34"/>
        <v>1</v>
      </c>
      <c r="AQ82" s="185">
        <f t="shared" si="35"/>
        <v>0</v>
      </c>
      <c r="AR82" s="185">
        <f t="shared" si="36"/>
        <v>0</v>
      </c>
      <c r="AS82" s="185">
        <f t="shared" si="37"/>
        <v>0</v>
      </c>
      <c r="AT82" s="185">
        <f t="shared" si="38"/>
        <v>0</v>
      </c>
      <c r="AU82" s="185">
        <f t="shared" si="39"/>
        <v>0</v>
      </c>
      <c r="AV82" s="185">
        <f t="shared" si="40"/>
        <v>0</v>
      </c>
      <c r="AW82" s="185">
        <f t="shared" si="41"/>
        <v>0</v>
      </c>
      <c r="AX82" s="185">
        <f t="shared" si="42"/>
        <v>0</v>
      </c>
      <c r="AY82" s="185">
        <f t="shared" si="43"/>
        <v>0</v>
      </c>
      <c r="AZ82" s="185">
        <f t="shared" si="44"/>
        <v>0</v>
      </c>
      <c r="BA82" s="185">
        <f t="shared" si="45"/>
        <v>0</v>
      </c>
      <c r="BB82" s="185">
        <f t="shared" si="46"/>
        <v>0</v>
      </c>
      <c r="BC82" s="185">
        <f t="shared" si="47"/>
        <v>0</v>
      </c>
      <c r="BD82" s="185">
        <f t="shared" si="23"/>
        <v>0</v>
      </c>
      <c r="BE82" s="185">
        <f t="shared" si="24"/>
        <v>0</v>
      </c>
    </row>
    <row r="83" spans="1:57" s="90" customFormat="1" ht="15" hidden="1" customHeight="1" x14ac:dyDescent="0.25">
      <c r="A83" s="187" t="b">
        <v>1</v>
      </c>
      <c r="B83" s="188" t="b">
        <v>1</v>
      </c>
      <c r="C83" s="179" t="e">
        <f t="shared" si="26"/>
        <v>#N/A</v>
      </c>
      <c r="E83" s="180">
        <v>2054</v>
      </c>
      <c r="F83" s="100">
        <f t="shared" si="25"/>
        <v>83</v>
      </c>
      <c r="G83" s="181">
        <f t="shared" si="27"/>
        <v>-16</v>
      </c>
      <c r="H83" s="181" t="e">
        <f t="shared" si="29"/>
        <v>#N/A</v>
      </c>
      <c r="J83" s="182">
        <v>0</v>
      </c>
      <c r="K83" s="101"/>
      <c r="L83" s="183" t="e">
        <f t="shared" si="28"/>
        <v>#N/A</v>
      </c>
      <c r="M83" s="184"/>
      <c r="N83" s="91"/>
      <c r="O83" s="91"/>
      <c r="P83" s="90">
        <v>0</v>
      </c>
      <c r="Q83" s="87">
        <v>1</v>
      </c>
      <c r="R83" s="185">
        <v>0</v>
      </c>
      <c r="S83" s="185">
        <v>0</v>
      </c>
      <c r="T83" s="185">
        <v>0</v>
      </c>
      <c r="U83" s="185">
        <v>0</v>
      </c>
      <c r="V83" s="182">
        <v>0</v>
      </c>
      <c r="W83" s="182">
        <v>0</v>
      </c>
      <c r="X83" s="182">
        <v>0</v>
      </c>
      <c r="Y83" s="182">
        <v>0</v>
      </c>
      <c r="Z83" s="182">
        <v>0</v>
      </c>
      <c r="AA83" s="182">
        <v>0</v>
      </c>
      <c r="AB83" s="182">
        <v>0</v>
      </c>
      <c r="AC83" s="182">
        <v>0</v>
      </c>
      <c r="AD83" s="182">
        <v>0</v>
      </c>
      <c r="AE83" s="182">
        <v>0</v>
      </c>
      <c r="AF83" s="182">
        <v>0</v>
      </c>
      <c r="AG83" s="182">
        <v>0</v>
      </c>
      <c r="AH83" s="182">
        <v>0</v>
      </c>
      <c r="AI83" s="182">
        <v>0</v>
      </c>
      <c r="AJ83" s="182">
        <v>0</v>
      </c>
      <c r="AL83" s="185">
        <f t="shared" si="30"/>
        <v>1</v>
      </c>
      <c r="AM83" s="185">
        <f t="shared" si="31"/>
        <v>0</v>
      </c>
      <c r="AN83" s="185">
        <f t="shared" si="32"/>
        <v>0</v>
      </c>
      <c r="AO83" s="185">
        <f t="shared" si="33"/>
        <v>0</v>
      </c>
      <c r="AP83" s="185">
        <f t="shared" si="34"/>
        <v>0</v>
      </c>
      <c r="AQ83" s="185">
        <f t="shared" si="35"/>
        <v>0</v>
      </c>
      <c r="AR83" s="185">
        <f t="shared" si="36"/>
        <v>0</v>
      </c>
      <c r="AS83" s="185">
        <f t="shared" si="37"/>
        <v>0</v>
      </c>
      <c r="AT83" s="185">
        <f t="shared" si="38"/>
        <v>0</v>
      </c>
      <c r="AU83" s="185">
        <f t="shared" si="39"/>
        <v>0</v>
      </c>
      <c r="AV83" s="185">
        <f t="shared" si="40"/>
        <v>0</v>
      </c>
      <c r="AW83" s="185">
        <f t="shared" si="41"/>
        <v>0</v>
      </c>
      <c r="AX83" s="185">
        <f t="shared" si="42"/>
        <v>0</v>
      </c>
      <c r="AY83" s="185">
        <f t="shared" si="43"/>
        <v>0</v>
      </c>
      <c r="AZ83" s="185">
        <f t="shared" si="44"/>
        <v>0</v>
      </c>
      <c r="BA83" s="185">
        <f t="shared" si="45"/>
        <v>0</v>
      </c>
      <c r="BB83" s="185">
        <f t="shared" si="46"/>
        <v>0</v>
      </c>
      <c r="BC83" s="185">
        <f t="shared" si="47"/>
        <v>0</v>
      </c>
      <c r="BD83" s="185">
        <f t="shared" si="23"/>
        <v>0</v>
      </c>
      <c r="BE83" s="185">
        <f t="shared" si="24"/>
        <v>0</v>
      </c>
    </row>
    <row r="84" spans="1:57" s="90" customFormat="1" ht="15" hidden="1" customHeight="1" x14ac:dyDescent="0.25">
      <c r="A84" s="187" t="b">
        <v>1</v>
      </c>
      <c r="B84" s="188" t="b">
        <v>1</v>
      </c>
      <c r="C84" s="179" t="e">
        <f t="shared" si="26"/>
        <v>#N/A</v>
      </c>
      <c r="E84" s="180">
        <v>2055</v>
      </c>
      <c r="F84" s="100">
        <f t="shared" si="25"/>
        <v>84</v>
      </c>
      <c r="G84" s="181">
        <f t="shared" si="27"/>
        <v>-17</v>
      </c>
      <c r="H84" s="181" t="e">
        <f t="shared" si="29"/>
        <v>#N/A</v>
      </c>
      <c r="J84" s="182">
        <v>0</v>
      </c>
      <c r="K84" s="101"/>
      <c r="L84" s="183" t="e">
        <f t="shared" si="28"/>
        <v>#N/A</v>
      </c>
      <c r="M84" s="184"/>
      <c r="N84" s="91"/>
      <c r="O84" s="91"/>
      <c r="P84" s="90">
        <v>0</v>
      </c>
      <c r="Q84" s="87">
        <v>1</v>
      </c>
      <c r="R84" s="185">
        <v>0</v>
      </c>
      <c r="S84" s="185">
        <v>0</v>
      </c>
      <c r="T84" s="185">
        <v>0</v>
      </c>
      <c r="U84" s="185">
        <v>0</v>
      </c>
      <c r="V84" s="182">
        <v>0</v>
      </c>
      <c r="W84" s="182">
        <v>0</v>
      </c>
      <c r="X84" s="182">
        <v>0</v>
      </c>
      <c r="Y84" s="182">
        <v>0</v>
      </c>
      <c r="Z84" s="182">
        <v>0</v>
      </c>
      <c r="AA84" s="182">
        <v>0</v>
      </c>
      <c r="AB84" s="182">
        <v>0</v>
      </c>
      <c r="AC84" s="182">
        <v>0</v>
      </c>
      <c r="AD84" s="182">
        <v>0</v>
      </c>
      <c r="AE84" s="182">
        <v>0</v>
      </c>
      <c r="AF84" s="182">
        <v>0</v>
      </c>
      <c r="AG84" s="182">
        <v>0</v>
      </c>
      <c r="AH84" s="182">
        <v>0</v>
      </c>
      <c r="AI84" s="182">
        <v>0</v>
      </c>
      <c r="AJ84" s="182">
        <v>0</v>
      </c>
      <c r="AL84" s="185">
        <f t="shared" si="30"/>
        <v>1</v>
      </c>
      <c r="AM84" s="185">
        <f t="shared" si="31"/>
        <v>0</v>
      </c>
      <c r="AN84" s="185">
        <f t="shared" si="32"/>
        <v>0</v>
      </c>
      <c r="AO84" s="185">
        <f t="shared" si="33"/>
        <v>0</v>
      </c>
      <c r="AP84" s="185">
        <f t="shared" si="34"/>
        <v>0</v>
      </c>
      <c r="AQ84" s="185">
        <f t="shared" si="35"/>
        <v>0</v>
      </c>
      <c r="AR84" s="185">
        <f t="shared" si="36"/>
        <v>0</v>
      </c>
      <c r="AS84" s="185">
        <f t="shared" si="37"/>
        <v>0</v>
      </c>
      <c r="AT84" s="185">
        <f t="shared" si="38"/>
        <v>0</v>
      </c>
      <c r="AU84" s="185">
        <f t="shared" si="39"/>
        <v>0</v>
      </c>
      <c r="AV84" s="185">
        <f t="shared" si="40"/>
        <v>0</v>
      </c>
      <c r="AW84" s="185">
        <f t="shared" si="41"/>
        <v>0</v>
      </c>
      <c r="AX84" s="185">
        <f t="shared" si="42"/>
        <v>0</v>
      </c>
      <c r="AY84" s="185">
        <f t="shared" si="43"/>
        <v>0</v>
      </c>
      <c r="AZ84" s="185">
        <f t="shared" si="44"/>
        <v>0</v>
      </c>
      <c r="BA84" s="185">
        <f t="shared" si="45"/>
        <v>0</v>
      </c>
      <c r="BB84" s="185">
        <f t="shared" si="46"/>
        <v>0</v>
      </c>
      <c r="BC84" s="185">
        <f t="shared" si="47"/>
        <v>0</v>
      </c>
      <c r="BD84" s="185">
        <f t="shared" si="23"/>
        <v>0</v>
      </c>
      <c r="BE84" s="185">
        <f t="shared" si="24"/>
        <v>0</v>
      </c>
    </row>
    <row r="85" spans="1:57" s="90" customFormat="1" ht="15" hidden="1" customHeight="1" x14ac:dyDescent="0.25">
      <c r="A85" s="187" t="b">
        <v>1</v>
      </c>
      <c r="B85" s="188" t="b">
        <v>1</v>
      </c>
      <c r="C85" s="179" t="e">
        <f t="shared" si="26"/>
        <v>#N/A</v>
      </c>
      <c r="E85" s="180">
        <v>2056</v>
      </c>
      <c r="F85" s="100">
        <f t="shared" si="25"/>
        <v>85</v>
      </c>
      <c r="G85" s="181">
        <f t="shared" si="27"/>
        <v>-18</v>
      </c>
      <c r="H85" s="181" t="e">
        <f t="shared" si="29"/>
        <v>#N/A</v>
      </c>
      <c r="J85" s="182">
        <v>0</v>
      </c>
      <c r="K85" s="101"/>
      <c r="L85" s="183" t="e">
        <f t="shared" si="28"/>
        <v>#N/A</v>
      </c>
      <c r="M85" s="184"/>
      <c r="N85" s="91"/>
      <c r="O85" s="91"/>
      <c r="P85" s="90">
        <v>0</v>
      </c>
      <c r="Q85" s="87">
        <v>1</v>
      </c>
      <c r="R85" s="185">
        <v>0</v>
      </c>
      <c r="S85" s="185">
        <v>0</v>
      </c>
      <c r="T85" s="185">
        <v>0</v>
      </c>
      <c r="U85" s="185">
        <v>0</v>
      </c>
      <c r="V85" s="182">
        <v>0</v>
      </c>
      <c r="W85" s="182">
        <v>0</v>
      </c>
      <c r="X85" s="182">
        <v>0</v>
      </c>
      <c r="Y85" s="182">
        <v>0</v>
      </c>
      <c r="Z85" s="182">
        <v>0</v>
      </c>
      <c r="AA85" s="182">
        <v>0</v>
      </c>
      <c r="AB85" s="182">
        <v>0</v>
      </c>
      <c r="AC85" s="182">
        <v>0</v>
      </c>
      <c r="AD85" s="182">
        <v>0</v>
      </c>
      <c r="AE85" s="182">
        <v>0</v>
      </c>
      <c r="AF85" s="182">
        <v>0</v>
      </c>
      <c r="AG85" s="182">
        <v>0</v>
      </c>
      <c r="AH85" s="182">
        <v>0</v>
      </c>
      <c r="AI85" s="182">
        <v>0</v>
      </c>
      <c r="AJ85" s="182">
        <v>0</v>
      </c>
      <c r="AL85" s="185">
        <f t="shared" si="30"/>
        <v>1</v>
      </c>
      <c r="AM85" s="185">
        <f t="shared" si="31"/>
        <v>0</v>
      </c>
      <c r="AN85" s="185">
        <f t="shared" si="32"/>
        <v>0</v>
      </c>
      <c r="AO85" s="185">
        <f t="shared" si="33"/>
        <v>0</v>
      </c>
      <c r="AP85" s="185">
        <f t="shared" si="34"/>
        <v>0</v>
      </c>
      <c r="AQ85" s="185">
        <f t="shared" si="35"/>
        <v>0</v>
      </c>
      <c r="AR85" s="185">
        <f t="shared" si="36"/>
        <v>0</v>
      </c>
      <c r="AS85" s="185">
        <f t="shared" si="37"/>
        <v>0</v>
      </c>
      <c r="AT85" s="185">
        <f t="shared" si="38"/>
        <v>0</v>
      </c>
      <c r="AU85" s="185">
        <f t="shared" si="39"/>
        <v>0</v>
      </c>
      <c r="AV85" s="185">
        <f t="shared" si="40"/>
        <v>0</v>
      </c>
      <c r="AW85" s="185">
        <f t="shared" si="41"/>
        <v>0</v>
      </c>
      <c r="AX85" s="185">
        <f t="shared" si="42"/>
        <v>0</v>
      </c>
      <c r="AY85" s="185">
        <f t="shared" si="43"/>
        <v>0</v>
      </c>
      <c r="AZ85" s="185">
        <f t="shared" si="44"/>
        <v>0</v>
      </c>
      <c r="BA85" s="185">
        <f t="shared" si="45"/>
        <v>0</v>
      </c>
      <c r="BB85" s="185">
        <f t="shared" si="46"/>
        <v>0</v>
      </c>
      <c r="BC85" s="185">
        <f t="shared" si="47"/>
        <v>0</v>
      </c>
      <c r="BD85" s="185">
        <f t="shared" si="23"/>
        <v>0</v>
      </c>
      <c r="BE85" s="185">
        <f t="shared" si="24"/>
        <v>0</v>
      </c>
    </row>
    <row r="86" spans="1:57" s="90" customFormat="1" ht="15" hidden="1" customHeight="1" x14ac:dyDescent="0.25">
      <c r="A86" s="187" t="b">
        <v>1</v>
      </c>
      <c r="B86" s="188" t="b">
        <v>1</v>
      </c>
      <c r="C86" s="179" t="e">
        <f t="shared" si="26"/>
        <v>#N/A</v>
      </c>
      <c r="E86" s="180">
        <v>2057</v>
      </c>
      <c r="F86" s="100">
        <f t="shared" si="25"/>
        <v>86</v>
      </c>
      <c r="G86" s="181">
        <f t="shared" si="27"/>
        <v>-19</v>
      </c>
      <c r="H86" s="181" t="e">
        <f t="shared" si="29"/>
        <v>#N/A</v>
      </c>
      <c r="J86" s="182">
        <v>0</v>
      </c>
      <c r="K86" s="101"/>
      <c r="L86" s="183" t="e">
        <f t="shared" si="28"/>
        <v>#N/A</v>
      </c>
      <c r="M86" s="184"/>
      <c r="N86" s="91"/>
      <c r="O86" s="91"/>
      <c r="P86" s="90">
        <v>0</v>
      </c>
      <c r="Q86" s="87">
        <v>1</v>
      </c>
      <c r="R86" s="185">
        <v>0</v>
      </c>
      <c r="S86" s="185">
        <v>0</v>
      </c>
      <c r="T86" s="185">
        <v>0</v>
      </c>
      <c r="U86" s="185">
        <v>0</v>
      </c>
      <c r="V86" s="182">
        <v>0</v>
      </c>
      <c r="W86" s="182">
        <v>0</v>
      </c>
      <c r="X86" s="182">
        <v>0</v>
      </c>
      <c r="Y86" s="182">
        <v>0</v>
      </c>
      <c r="Z86" s="182">
        <v>0</v>
      </c>
      <c r="AA86" s="182">
        <v>0</v>
      </c>
      <c r="AB86" s="182">
        <v>0</v>
      </c>
      <c r="AC86" s="182">
        <v>0</v>
      </c>
      <c r="AD86" s="182">
        <v>0</v>
      </c>
      <c r="AE86" s="182">
        <v>0</v>
      </c>
      <c r="AF86" s="182">
        <v>0</v>
      </c>
      <c r="AG86" s="182">
        <v>0</v>
      </c>
      <c r="AH86" s="182">
        <v>0</v>
      </c>
      <c r="AI86" s="182">
        <v>0</v>
      </c>
      <c r="AJ86" s="182">
        <v>0</v>
      </c>
      <c r="AL86" s="185">
        <f t="shared" si="30"/>
        <v>1</v>
      </c>
      <c r="AM86" s="185">
        <f t="shared" si="31"/>
        <v>0</v>
      </c>
      <c r="AN86" s="185">
        <f t="shared" si="32"/>
        <v>0</v>
      </c>
      <c r="AO86" s="185">
        <f t="shared" si="33"/>
        <v>0</v>
      </c>
      <c r="AP86" s="185">
        <f t="shared" si="34"/>
        <v>0</v>
      </c>
      <c r="AQ86" s="185">
        <f t="shared" si="35"/>
        <v>0</v>
      </c>
      <c r="AR86" s="185">
        <f t="shared" si="36"/>
        <v>0</v>
      </c>
      <c r="AS86" s="185">
        <f t="shared" si="37"/>
        <v>0</v>
      </c>
      <c r="AT86" s="185">
        <f t="shared" si="38"/>
        <v>0</v>
      </c>
      <c r="AU86" s="185">
        <f t="shared" si="39"/>
        <v>0</v>
      </c>
      <c r="AV86" s="185">
        <f t="shared" si="40"/>
        <v>0</v>
      </c>
      <c r="AW86" s="185">
        <f t="shared" si="41"/>
        <v>0</v>
      </c>
      <c r="AX86" s="185">
        <f t="shared" si="42"/>
        <v>0</v>
      </c>
      <c r="AY86" s="185">
        <f t="shared" si="43"/>
        <v>0</v>
      </c>
      <c r="AZ86" s="185">
        <f t="shared" si="44"/>
        <v>0</v>
      </c>
      <c r="BA86" s="185">
        <f t="shared" si="45"/>
        <v>0</v>
      </c>
      <c r="BB86" s="185">
        <f t="shared" si="46"/>
        <v>0</v>
      </c>
      <c r="BC86" s="185">
        <f t="shared" si="47"/>
        <v>0</v>
      </c>
      <c r="BD86" s="185">
        <f t="shared" si="23"/>
        <v>0</v>
      </c>
      <c r="BE86" s="185">
        <f t="shared" si="24"/>
        <v>0</v>
      </c>
    </row>
    <row r="87" spans="1:57" s="90" customFormat="1" ht="15" hidden="1" customHeight="1" x14ac:dyDescent="0.25">
      <c r="A87" s="187" t="b">
        <v>1</v>
      </c>
      <c r="B87" s="188" t="b">
        <v>1</v>
      </c>
      <c r="C87" s="179" t="e">
        <f t="shared" si="26"/>
        <v>#N/A</v>
      </c>
      <c r="E87" s="180">
        <v>2058</v>
      </c>
      <c r="F87" s="100">
        <f t="shared" si="25"/>
        <v>87</v>
      </c>
      <c r="G87" s="181">
        <f t="shared" si="27"/>
        <v>-20</v>
      </c>
      <c r="H87" s="181" t="e">
        <f t="shared" si="29"/>
        <v>#N/A</v>
      </c>
      <c r="J87" s="182">
        <v>0</v>
      </c>
      <c r="K87" s="101"/>
      <c r="L87" s="183" t="e">
        <f t="shared" si="28"/>
        <v>#N/A</v>
      </c>
      <c r="M87" s="184"/>
      <c r="N87" s="91"/>
      <c r="O87" s="91"/>
      <c r="P87" s="90">
        <v>0</v>
      </c>
      <c r="Q87" s="87">
        <v>1</v>
      </c>
      <c r="R87" s="185">
        <v>0</v>
      </c>
      <c r="S87" s="185">
        <v>0</v>
      </c>
      <c r="T87" s="185">
        <v>0</v>
      </c>
      <c r="U87" s="185">
        <v>0</v>
      </c>
      <c r="V87" s="182">
        <v>0</v>
      </c>
      <c r="W87" s="182">
        <v>0</v>
      </c>
      <c r="X87" s="182">
        <v>0</v>
      </c>
      <c r="Y87" s="182">
        <v>0</v>
      </c>
      <c r="Z87" s="182">
        <v>0</v>
      </c>
      <c r="AA87" s="182">
        <v>0</v>
      </c>
      <c r="AB87" s="182">
        <v>0</v>
      </c>
      <c r="AC87" s="182">
        <v>0</v>
      </c>
      <c r="AD87" s="182">
        <v>0</v>
      </c>
      <c r="AE87" s="182">
        <v>0</v>
      </c>
      <c r="AF87" s="182">
        <v>0</v>
      </c>
      <c r="AG87" s="182">
        <v>0</v>
      </c>
      <c r="AH87" s="182">
        <v>0</v>
      </c>
      <c r="AI87" s="182">
        <v>0</v>
      </c>
      <c r="AJ87" s="182">
        <v>0</v>
      </c>
      <c r="AL87" s="185">
        <f t="shared" si="30"/>
        <v>1</v>
      </c>
      <c r="AM87" s="185">
        <f t="shared" si="31"/>
        <v>0</v>
      </c>
      <c r="AN87" s="185">
        <f t="shared" si="32"/>
        <v>0</v>
      </c>
      <c r="AO87" s="185">
        <f t="shared" si="33"/>
        <v>0</v>
      </c>
      <c r="AP87" s="185">
        <f t="shared" si="34"/>
        <v>0</v>
      </c>
      <c r="AQ87" s="185">
        <f t="shared" si="35"/>
        <v>0</v>
      </c>
      <c r="AR87" s="185">
        <f t="shared" si="36"/>
        <v>0</v>
      </c>
      <c r="AS87" s="185">
        <f t="shared" si="37"/>
        <v>0</v>
      </c>
      <c r="AT87" s="185">
        <f t="shared" si="38"/>
        <v>0</v>
      </c>
      <c r="AU87" s="185">
        <f t="shared" si="39"/>
        <v>0</v>
      </c>
      <c r="AV87" s="185">
        <f t="shared" si="40"/>
        <v>0</v>
      </c>
      <c r="AW87" s="185">
        <f t="shared" si="41"/>
        <v>0</v>
      </c>
      <c r="AX87" s="185">
        <f t="shared" si="42"/>
        <v>0</v>
      </c>
      <c r="AY87" s="185">
        <f t="shared" si="43"/>
        <v>0</v>
      </c>
      <c r="AZ87" s="185">
        <f t="shared" si="44"/>
        <v>0</v>
      </c>
      <c r="BA87" s="185">
        <f t="shared" si="45"/>
        <v>0</v>
      </c>
      <c r="BB87" s="185">
        <f t="shared" si="46"/>
        <v>0</v>
      </c>
      <c r="BC87" s="185">
        <f t="shared" si="47"/>
        <v>0</v>
      </c>
      <c r="BD87" s="185">
        <f t="shared" si="23"/>
        <v>0</v>
      </c>
      <c r="BE87" s="185">
        <f t="shared" si="24"/>
        <v>0</v>
      </c>
    </row>
    <row r="88" spans="1:57" s="90" customFormat="1" ht="15" hidden="1" customHeight="1" x14ac:dyDescent="0.25">
      <c r="A88" s="187" t="b">
        <v>1</v>
      </c>
      <c r="B88" s="188" t="b">
        <v>1</v>
      </c>
      <c r="C88" s="179" t="e">
        <f t="shared" si="26"/>
        <v>#N/A</v>
      </c>
      <c r="E88" s="180">
        <v>2059</v>
      </c>
      <c r="F88" s="100">
        <f t="shared" si="25"/>
        <v>88</v>
      </c>
      <c r="G88" s="181">
        <f t="shared" si="27"/>
        <v>-21</v>
      </c>
      <c r="H88" s="181" t="e">
        <f t="shared" si="29"/>
        <v>#N/A</v>
      </c>
      <c r="J88" s="182">
        <v>0</v>
      </c>
      <c r="K88" s="101"/>
      <c r="L88" s="183" t="e">
        <f t="shared" si="28"/>
        <v>#N/A</v>
      </c>
      <c r="M88" s="184"/>
      <c r="N88" s="91"/>
      <c r="O88" s="91"/>
      <c r="P88" s="90">
        <v>0</v>
      </c>
      <c r="Q88" s="87">
        <v>1</v>
      </c>
      <c r="R88" s="185">
        <v>0</v>
      </c>
      <c r="S88" s="185">
        <v>0</v>
      </c>
      <c r="T88" s="185">
        <v>0</v>
      </c>
      <c r="U88" s="185">
        <v>0</v>
      </c>
      <c r="V88" s="182">
        <v>0</v>
      </c>
      <c r="W88" s="182">
        <v>0</v>
      </c>
      <c r="X88" s="182">
        <v>0</v>
      </c>
      <c r="Y88" s="182">
        <v>0</v>
      </c>
      <c r="Z88" s="182">
        <v>0</v>
      </c>
      <c r="AA88" s="182">
        <v>0</v>
      </c>
      <c r="AB88" s="182">
        <v>0</v>
      </c>
      <c r="AC88" s="182">
        <v>0</v>
      </c>
      <c r="AD88" s="182">
        <v>0</v>
      </c>
      <c r="AE88" s="182">
        <v>0</v>
      </c>
      <c r="AF88" s="182">
        <v>0</v>
      </c>
      <c r="AG88" s="182">
        <v>0</v>
      </c>
      <c r="AH88" s="182">
        <v>0</v>
      </c>
      <c r="AI88" s="182">
        <v>0</v>
      </c>
      <c r="AJ88" s="182">
        <v>0</v>
      </c>
      <c r="AL88" s="185">
        <f t="shared" si="30"/>
        <v>1</v>
      </c>
      <c r="AM88" s="185">
        <f t="shared" si="31"/>
        <v>0</v>
      </c>
      <c r="AN88" s="185">
        <f t="shared" si="32"/>
        <v>0</v>
      </c>
      <c r="AO88" s="185">
        <f t="shared" si="33"/>
        <v>0</v>
      </c>
      <c r="AP88" s="185">
        <f t="shared" si="34"/>
        <v>0</v>
      </c>
      <c r="AQ88" s="185">
        <f t="shared" si="35"/>
        <v>0</v>
      </c>
      <c r="AR88" s="185">
        <f t="shared" si="36"/>
        <v>0</v>
      </c>
      <c r="AS88" s="185">
        <f t="shared" si="37"/>
        <v>0</v>
      </c>
      <c r="AT88" s="185">
        <f t="shared" si="38"/>
        <v>0</v>
      </c>
      <c r="AU88" s="185">
        <f t="shared" si="39"/>
        <v>0</v>
      </c>
      <c r="AV88" s="185">
        <f t="shared" si="40"/>
        <v>0</v>
      </c>
      <c r="AW88" s="185">
        <f t="shared" si="41"/>
        <v>0</v>
      </c>
      <c r="AX88" s="185">
        <f t="shared" si="42"/>
        <v>0</v>
      </c>
      <c r="AY88" s="185">
        <f t="shared" si="43"/>
        <v>0</v>
      </c>
      <c r="AZ88" s="185">
        <f t="shared" si="44"/>
        <v>0</v>
      </c>
      <c r="BA88" s="185">
        <f t="shared" si="45"/>
        <v>0</v>
      </c>
      <c r="BB88" s="185">
        <f t="shared" si="46"/>
        <v>0</v>
      </c>
      <c r="BC88" s="185">
        <f t="shared" si="47"/>
        <v>0</v>
      </c>
      <c r="BD88" s="185">
        <f t="shared" si="23"/>
        <v>0</v>
      </c>
      <c r="BE88" s="185">
        <f t="shared" si="24"/>
        <v>0</v>
      </c>
    </row>
    <row r="89" spans="1:57" s="90" customFormat="1" ht="15" hidden="1" customHeight="1" x14ac:dyDescent="0.25">
      <c r="A89" s="187" t="b">
        <v>1</v>
      </c>
      <c r="B89" s="188" t="b">
        <v>1</v>
      </c>
      <c r="C89" s="179" t="e">
        <f t="shared" si="26"/>
        <v>#N/A</v>
      </c>
      <c r="E89" s="180">
        <v>2060</v>
      </c>
      <c r="F89" s="100">
        <f t="shared" si="25"/>
        <v>89</v>
      </c>
      <c r="G89" s="181">
        <f t="shared" si="27"/>
        <v>-22</v>
      </c>
      <c r="H89" s="181" t="e">
        <f t="shared" si="29"/>
        <v>#N/A</v>
      </c>
      <c r="J89" s="182">
        <v>0</v>
      </c>
      <c r="K89" s="101"/>
      <c r="L89" s="183" t="e">
        <f t="shared" si="28"/>
        <v>#N/A</v>
      </c>
      <c r="M89" s="184"/>
      <c r="N89" s="91"/>
      <c r="O89" s="91"/>
      <c r="P89" s="90">
        <v>0</v>
      </c>
      <c r="Q89" s="87">
        <v>1</v>
      </c>
      <c r="R89" s="185">
        <v>0</v>
      </c>
      <c r="S89" s="185">
        <v>0</v>
      </c>
      <c r="T89" s="185">
        <v>0</v>
      </c>
      <c r="U89" s="185">
        <v>0</v>
      </c>
      <c r="V89" s="182">
        <v>0</v>
      </c>
      <c r="W89" s="182">
        <v>0</v>
      </c>
      <c r="X89" s="182">
        <v>0</v>
      </c>
      <c r="Y89" s="182">
        <v>0</v>
      </c>
      <c r="Z89" s="182">
        <v>0</v>
      </c>
      <c r="AA89" s="182">
        <v>0</v>
      </c>
      <c r="AB89" s="182">
        <v>0</v>
      </c>
      <c r="AC89" s="182">
        <v>0</v>
      </c>
      <c r="AD89" s="182">
        <v>0</v>
      </c>
      <c r="AE89" s="182">
        <v>0</v>
      </c>
      <c r="AF89" s="182">
        <v>0</v>
      </c>
      <c r="AG89" s="182">
        <v>0</v>
      </c>
      <c r="AH89" s="182">
        <v>0</v>
      </c>
      <c r="AI89" s="182">
        <v>0</v>
      </c>
      <c r="AJ89" s="182">
        <v>0</v>
      </c>
      <c r="AL89" s="185">
        <f t="shared" si="30"/>
        <v>1</v>
      </c>
      <c r="AM89" s="185">
        <f t="shared" si="31"/>
        <v>0</v>
      </c>
      <c r="AN89" s="185">
        <f t="shared" si="32"/>
        <v>0</v>
      </c>
      <c r="AO89" s="185">
        <f t="shared" si="33"/>
        <v>0</v>
      </c>
      <c r="AP89" s="185">
        <f t="shared" si="34"/>
        <v>0</v>
      </c>
      <c r="AQ89" s="185">
        <f t="shared" si="35"/>
        <v>0</v>
      </c>
      <c r="AR89" s="185">
        <f t="shared" si="36"/>
        <v>0</v>
      </c>
      <c r="AS89" s="185">
        <f t="shared" si="37"/>
        <v>0</v>
      </c>
      <c r="AT89" s="185">
        <f t="shared" si="38"/>
        <v>0</v>
      </c>
      <c r="AU89" s="185">
        <f t="shared" si="39"/>
        <v>0</v>
      </c>
      <c r="AV89" s="185">
        <f t="shared" si="40"/>
        <v>0</v>
      </c>
      <c r="AW89" s="185">
        <f t="shared" si="41"/>
        <v>0</v>
      </c>
      <c r="AX89" s="185">
        <f t="shared" si="42"/>
        <v>0</v>
      </c>
      <c r="AY89" s="185">
        <f t="shared" si="43"/>
        <v>0</v>
      </c>
      <c r="AZ89" s="185">
        <f t="shared" si="44"/>
        <v>0</v>
      </c>
      <c r="BA89" s="185">
        <f t="shared" si="45"/>
        <v>0</v>
      </c>
      <c r="BB89" s="185">
        <f t="shared" si="46"/>
        <v>0</v>
      </c>
      <c r="BC89" s="185">
        <f t="shared" si="47"/>
        <v>0</v>
      </c>
      <c r="BD89" s="185">
        <f t="shared" si="23"/>
        <v>0</v>
      </c>
      <c r="BE89" s="185">
        <f t="shared" si="24"/>
        <v>0</v>
      </c>
    </row>
    <row r="90" spans="1:57" s="90" customFormat="1" ht="15" hidden="1" customHeight="1" x14ac:dyDescent="0.25">
      <c r="A90" s="187" t="b">
        <v>1</v>
      </c>
      <c r="B90" s="188" t="b">
        <v>1</v>
      </c>
      <c r="C90" s="179" t="e">
        <f t="shared" si="26"/>
        <v>#N/A</v>
      </c>
      <c r="E90" s="180">
        <v>2061</v>
      </c>
      <c r="F90" s="100">
        <f t="shared" si="25"/>
        <v>90</v>
      </c>
      <c r="G90" s="181">
        <f t="shared" si="27"/>
        <v>-23</v>
      </c>
      <c r="H90" s="181" t="e">
        <f t="shared" si="29"/>
        <v>#N/A</v>
      </c>
      <c r="J90" s="182">
        <v>0</v>
      </c>
      <c r="K90" s="101"/>
      <c r="L90" s="183" t="e">
        <f t="shared" si="28"/>
        <v>#N/A</v>
      </c>
      <c r="M90" s="184"/>
      <c r="N90" s="91"/>
      <c r="O90" s="91"/>
      <c r="P90" s="90">
        <v>0</v>
      </c>
      <c r="Q90" s="87">
        <v>1</v>
      </c>
      <c r="R90" s="185">
        <v>0</v>
      </c>
      <c r="S90" s="185">
        <v>0</v>
      </c>
      <c r="T90" s="185">
        <v>0</v>
      </c>
      <c r="U90" s="185">
        <v>0</v>
      </c>
      <c r="V90" s="182">
        <v>0</v>
      </c>
      <c r="W90" s="182">
        <v>0</v>
      </c>
      <c r="X90" s="182">
        <v>0</v>
      </c>
      <c r="Y90" s="182">
        <v>0</v>
      </c>
      <c r="Z90" s="182">
        <v>0</v>
      </c>
      <c r="AA90" s="182">
        <v>0</v>
      </c>
      <c r="AB90" s="182">
        <v>0</v>
      </c>
      <c r="AC90" s="182">
        <v>0</v>
      </c>
      <c r="AD90" s="182">
        <v>0</v>
      </c>
      <c r="AE90" s="182">
        <v>0</v>
      </c>
      <c r="AF90" s="182">
        <v>0</v>
      </c>
      <c r="AG90" s="182">
        <v>0</v>
      </c>
      <c r="AH90" s="182">
        <v>0</v>
      </c>
      <c r="AI90" s="182">
        <v>0</v>
      </c>
      <c r="AJ90" s="182">
        <v>0</v>
      </c>
      <c r="AL90" s="185">
        <f t="shared" si="30"/>
        <v>1</v>
      </c>
      <c r="AM90" s="185">
        <f t="shared" si="31"/>
        <v>0</v>
      </c>
      <c r="AN90" s="185">
        <f t="shared" si="32"/>
        <v>0</v>
      </c>
      <c r="AO90" s="185">
        <f t="shared" si="33"/>
        <v>0</v>
      </c>
      <c r="AP90" s="185">
        <f t="shared" si="34"/>
        <v>0</v>
      </c>
      <c r="AQ90" s="185">
        <f t="shared" si="35"/>
        <v>0</v>
      </c>
      <c r="AR90" s="185">
        <f t="shared" si="36"/>
        <v>0</v>
      </c>
      <c r="AS90" s="185">
        <f t="shared" si="37"/>
        <v>0</v>
      </c>
      <c r="AT90" s="185">
        <f t="shared" si="38"/>
        <v>0</v>
      </c>
      <c r="AU90" s="185">
        <f t="shared" si="39"/>
        <v>0</v>
      </c>
      <c r="AV90" s="185">
        <f t="shared" si="40"/>
        <v>0</v>
      </c>
      <c r="AW90" s="185">
        <f t="shared" si="41"/>
        <v>0</v>
      </c>
      <c r="AX90" s="185">
        <f t="shared" si="42"/>
        <v>0</v>
      </c>
      <c r="AY90" s="185">
        <f t="shared" si="43"/>
        <v>0</v>
      </c>
      <c r="AZ90" s="185">
        <f t="shared" si="44"/>
        <v>0</v>
      </c>
      <c r="BA90" s="185">
        <f t="shared" si="45"/>
        <v>0</v>
      </c>
      <c r="BB90" s="185">
        <f t="shared" si="46"/>
        <v>0</v>
      </c>
      <c r="BC90" s="185">
        <f t="shared" si="47"/>
        <v>0</v>
      </c>
      <c r="BD90" s="185">
        <f t="shared" si="23"/>
        <v>0</v>
      </c>
      <c r="BE90" s="185">
        <f t="shared" si="24"/>
        <v>0</v>
      </c>
    </row>
    <row r="91" spans="1:57" s="90" customFormat="1" ht="15" hidden="1" customHeight="1" x14ac:dyDescent="0.25">
      <c r="A91" s="187" t="b">
        <v>1</v>
      </c>
      <c r="B91" s="188" t="b">
        <v>1</v>
      </c>
      <c r="C91" s="179" t="e">
        <f t="shared" si="26"/>
        <v>#N/A</v>
      </c>
      <c r="E91" s="180">
        <v>2062</v>
      </c>
      <c r="F91" s="100">
        <f t="shared" si="25"/>
        <v>91</v>
      </c>
      <c r="G91" s="181">
        <f t="shared" si="27"/>
        <v>-24</v>
      </c>
      <c r="H91" s="181" t="e">
        <f t="shared" si="29"/>
        <v>#N/A</v>
      </c>
      <c r="J91" s="182">
        <v>0</v>
      </c>
      <c r="K91" s="101"/>
      <c r="L91" s="183" t="e">
        <f t="shared" si="28"/>
        <v>#N/A</v>
      </c>
      <c r="M91" s="184"/>
      <c r="N91" s="91"/>
      <c r="O91" s="91"/>
      <c r="P91" s="90">
        <v>0</v>
      </c>
      <c r="Q91" s="87">
        <v>1</v>
      </c>
      <c r="R91" s="185">
        <v>0</v>
      </c>
      <c r="S91" s="185">
        <v>0</v>
      </c>
      <c r="T91" s="185">
        <v>0</v>
      </c>
      <c r="U91" s="185">
        <v>0</v>
      </c>
      <c r="V91" s="182">
        <v>0</v>
      </c>
      <c r="W91" s="182">
        <v>0</v>
      </c>
      <c r="X91" s="182">
        <v>0</v>
      </c>
      <c r="Y91" s="182">
        <v>0</v>
      </c>
      <c r="Z91" s="182">
        <v>0</v>
      </c>
      <c r="AA91" s="182">
        <v>0</v>
      </c>
      <c r="AB91" s="182">
        <v>0</v>
      </c>
      <c r="AC91" s="182">
        <v>0</v>
      </c>
      <c r="AD91" s="182">
        <v>0</v>
      </c>
      <c r="AE91" s="182">
        <v>0</v>
      </c>
      <c r="AF91" s="182">
        <v>0</v>
      </c>
      <c r="AG91" s="182">
        <v>0</v>
      </c>
      <c r="AH91" s="182">
        <v>0</v>
      </c>
      <c r="AI91" s="182">
        <v>0</v>
      </c>
      <c r="AJ91" s="182">
        <v>0</v>
      </c>
      <c r="AL91" s="185">
        <f t="shared" si="30"/>
        <v>1</v>
      </c>
      <c r="AM91" s="185">
        <f t="shared" si="31"/>
        <v>0</v>
      </c>
      <c r="AN91" s="185">
        <f t="shared" si="32"/>
        <v>0</v>
      </c>
      <c r="AO91" s="185">
        <f t="shared" si="33"/>
        <v>0</v>
      </c>
      <c r="AP91" s="185">
        <f t="shared" si="34"/>
        <v>0</v>
      </c>
      <c r="AQ91" s="185">
        <f t="shared" si="35"/>
        <v>0</v>
      </c>
      <c r="AR91" s="185">
        <f t="shared" si="36"/>
        <v>0</v>
      </c>
      <c r="AS91" s="185">
        <f t="shared" si="37"/>
        <v>0</v>
      </c>
      <c r="AT91" s="185">
        <f t="shared" si="38"/>
        <v>0</v>
      </c>
      <c r="AU91" s="185">
        <f t="shared" si="39"/>
        <v>0</v>
      </c>
      <c r="AV91" s="185">
        <f t="shared" si="40"/>
        <v>0</v>
      </c>
      <c r="AW91" s="185">
        <f t="shared" si="41"/>
        <v>0</v>
      </c>
      <c r="AX91" s="185">
        <f t="shared" si="42"/>
        <v>0</v>
      </c>
      <c r="AY91" s="185">
        <f t="shared" si="43"/>
        <v>0</v>
      </c>
      <c r="AZ91" s="185">
        <f t="shared" si="44"/>
        <v>0</v>
      </c>
      <c r="BA91" s="185">
        <f t="shared" si="45"/>
        <v>0</v>
      </c>
      <c r="BB91" s="185">
        <f t="shared" si="46"/>
        <v>0</v>
      </c>
      <c r="BC91" s="185">
        <f t="shared" si="47"/>
        <v>0</v>
      </c>
      <c r="BD91" s="185">
        <f t="shared" si="23"/>
        <v>0</v>
      </c>
      <c r="BE91" s="185">
        <f t="shared" si="24"/>
        <v>0</v>
      </c>
    </row>
    <row r="92" spans="1:57" s="90" customFormat="1" ht="15" hidden="1" customHeight="1" x14ac:dyDescent="0.25">
      <c r="A92" s="187" t="b">
        <v>1</v>
      </c>
      <c r="B92" s="188" t="b">
        <v>1</v>
      </c>
      <c r="C92" s="179" t="e">
        <f t="shared" si="26"/>
        <v>#N/A</v>
      </c>
      <c r="E92" s="180">
        <v>2063</v>
      </c>
      <c r="F92" s="100">
        <f t="shared" si="25"/>
        <v>92</v>
      </c>
      <c r="G92" s="181">
        <f t="shared" si="27"/>
        <v>-25</v>
      </c>
      <c r="H92" s="181" t="e">
        <f t="shared" si="29"/>
        <v>#N/A</v>
      </c>
      <c r="J92" s="182">
        <v>0</v>
      </c>
      <c r="K92" s="101"/>
      <c r="L92" s="183" t="e">
        <f t="shared" si="28"/>
        <v>#N/A</v>
      </c>
      <c r="M92" s="184"/>
      <c r="N92" s="91"/>
      <c r="O92" s="91"/>
      <c r="P92" s="90">
        <v>0</v>
      </c>
      <c r="Q92" s="87">
        <v>1</v>
      </c>
      <c r="R92" s="185">
        <v>0</v>
      </c>
      <c r="S92" s="185">
        <v>0</v>
      </c>
      <c r="T92" s="185">
        <v>0</v>
      </c>
      <c r="U92" s="185">
        <v>0</v>
      </c>
      <c r="V92" s="182">
        <v>0</v>
      </c>
      <c r="W92" s="182">
        <v>0</v>
      </c>
      <c r="X92" s="182">
        <v>0</v>
      </c>
      <c r="Y92" s="182">
        <v>0</v>
      </c>
      <c r="Z92" s="182">
        <v>0</v>
      </c>
      <c r="AA92" s="182">
        <v>0</v>
      </c>
      <c r="AB92" s="182">
        <v>0</v>
      </c>
      <c r="AC92" s="182">
        <v>0</v>
      </c>
      <c r="AD92" s="182">
        <v>0</v>
      </c>
      <c r="AE92" s="182">
        <v>0</v>
      </c>
      <c r="AF92" s="182">
        <v>0</v>
      </c>
      <c r="AG92" s="182">
        <v>0</v>
      </c>
      <c r="AH92" s="182">
        <v>0</v>
      </c>
      <c r="AI92" s="182">
        <v>0</v>
      </c>
      <c r="AJ92" s="182">
        <v>0</v>
      </c>
      <c r="AL92" s="185">
        <f t="shared" si="30"/>
        <v>1</v>
      </c>
      <c r="AM92" s="185">
        <f t="shared" si="31"/>
        <v>0</v>
      </c>
      <c r="AN92" s="185">
        <f t="shared" si="32"/>
        <v>0</v>
      </c>
      <c r="AO92" s="185">
        <f t="shared" si="33"/>
        <v>0</v>
      </c>
      <c r="AP92" s="185">
        <f t="shared" si="34"/>
        <v>0</v>
      </c>
      <c r="AQ92" s="185">
        <f t="shared" si="35"/>
        <v>0</v>
      </c>
      <c r="AR92" s="185">
        <f t="shared" si="36"/>
        <v>0</v>
      </c>
      <c r="AS92" s="185">
        <f t="shared" si="37"/>
        <v>0</v>
      </c>
      <c r="AT92" s="185">
        <f t="shared" si="38"/>
        <v>0</v>
      </c>
      <c r="AU92" s="185">
        <f t="shared" si="39"/>
        <v>0</v>
      </c>
      <c r="AV92" s="185">
        <f t="shared" si="40"/>
        <v>0</v>
      </c>
      <c r="AW92" s="185">
        <f t="shared" si="41"/>
        <v>0</v>
      </c>
      <c r="AX92" s="185">
        <f t="shared" si="42"/>
        <v>0</v>
      </c>
      <c r="AY92" s="185">
        <f t="shared" si="43"/>
        <v>0</v>
      </c>
      <c r="AZ92" s="185">
        <f t="shared" si="44"/>
        <v>0</v>
      </c>
      <c r="BA92" s="185">
        <f t="shared" si="45"/>
        <v>0</v>
      </c>
      <c r="BB92" s="185">
        <f t="shared" si="46"/>
        <v>0</v>
      </c>
      <c r="BC92" s="185">
        <f t="shared" si="47"/>
        <v>0</v>
      </c>
      <c r="BD92" s="185">
        <f t="shared" si="23"/>
        <v>0</v>
      </c>
      <c r="BE92" s="185">
        <f t="shared" si="24"/>
        <v>0</v>
      </c>
    </row>
    <row r="93" spans="1:57" s="90" customFormat="1" ht="15" hidden="1" customHeight="1" x14ac:dyDescent="0.25">
      <c r="A93" s="187" t="b">
        <v>1</v>
      </c>
      <c r="B93" s="188" t="b">
        <v>1</v>
      </c>
      <c r="C93" s="179" t="e">
        <f t="shared" si="26"/>
        <v>#N/A</v>
      </c>
      <c r="E93" s="180">
        <v>2064</v>
      </c>
      <c r="F93" s="100">
        <f t="shared" si="25"/>
        <v>93</v>
      </c>
      <c r="G93" s="181">
        <f t="shared" si="27"/>
        <v>-26</v>
      </c>
      <c r="H93" s="181" t="e">
        <f t="shared" si="29"/>
        <v>#N/A</v>
      </c>
      <c r="J93" s="182">
        <v>0</v>
      </c>
      <c r="K93" s="101"/>
      <c r="L93" s="183" t="e">
        <f t="shared" si="28"/>
        <v>#N/A</v>
      </c>
      <c r="M93" s="184"/>
      <c r="N93" s="91"/>
      <c r="O93" s="91"/>
      <c r="P93" s="90">
        <v>0</v>
      </c>
      <c r="Q93" s="87">
        <v>1</v>
      </c>
      <c r="R93" s="185">
        <v>0</v>
      </c>
      <c r="S93" s="185">
        <v>0</v>
      </c>
      <c r="T93" s="185">
        <v>0</v>
      </c>
      <c r="U93" s="185">
        <v>0</v>
      </c>
      <c r="V93" s="182">
        <v>0</v>
      </c>
      <c r="W93" s="182">
        <v>0</v>
      </c>
      <c r="X93" s="182">
        <v>0</v>
      </c>
      <c r="Y93" s="182">
        <v>0</v>
      </c>
      <c r="Z93" s="182">
        <v>0</v>
      </c>
      <c r="AA93" s="182">
        <v>0</v>
      </c>
      <c r="AB93" s="182">
        <v>0</v>
      </c>
      <c r="AC93" s="182">
        <v>0</v>
      </c>
      <c r="AD93" s="182">
        <v>0</v>
      </c>
      <c r="AE93" s="182">
        <v>0</v>
      </c>
      <c r="AF93" s="182">
        <v>0</v>
      </c>
      <c r="AG93" s="182">
        <v>0</v>
      </c>
      <c r="AH93" s="182">
        <v>0</v>
      </c>
      <c r="AI93" s="182">
        <v>0</v>
      </c>
      <c r="AJ93" s="182">
        <v>0</v>
      </c>
      <c r="AL93" s="185">
        <f t="shared" si="30"/>
        <v>1</v>
      </c>
      <c r="AM93" s="185">
        <f t="shared" si="31"/>
        <v>0</v>
      </c>
      <c r="AN93" s="185">
        <f t="shared" si="32"/>
        <v>0</v>
      </c>
      <c r="AO93" s="185">
        <f t="shared" si="33"/>
        <v>0</v>
      </c>
      <c r="AP93" s="185">
        <f t="shared" si="34"/>
        <v>0</v>
      </c>
      <c r="AQ93" s="185">
        <f t="shared" si="35"/>
        <v>0</v>
      </c>
      <c r="AR93" s="185">
        <f t="shared" si="36"/>
        <v>0</v>
      </c>
      <c r="AS93" s="185">
        <f t="shared" si="37"/>
        <v>0</v>
      </c>
      <c r="AT93" s="185">
        <f t="shared" si="38"/>
        <v>0</v>
      </c>
      <c r="AU93" s="185">
        <f t="shared" si="39"/>
        <v>0</v>
      </c>
      <c r="AV93" s="185">
        <f t="shared" si="40"/>
        <v>0</v>
      </c>
      <c r="AW93" s="185">
        <f t="shared" si="41"/>
        <v>0</v>
      </c>
      <c r="AX93" s="185">
        <f t="shared" si="42"/>
        <v>0</v>
      </c>
      <c r="AY93" s="185">
        <f t="shared" si="43"/>
        <v>0</v>
      </c>
      <c r="AZ93" s="185">
        <f t="shared" si="44"/>
        <v>0</v>
      </c>
      <c r="BA93" s="185">
        <f t="shared" si="45"/>
        <v>0</v>
      </c>
      <c r="BB93" s="185">
        <f t="shared" si="46"/>
        <v>0</v>
      </c>
      <c r="BC93" s="185">
        <f t="shared" si="47"/>
        <v>0</v>
      </c>
      <c r="BD93" s="185">
        <f t="shared" si="23"/>
        <v>0</v>
      </c>
      <c r="BE93" s="185">
        <f t="shared" si="24"/>
        <v>0</v>
      </c>
    </row>
    <row r="94" spans="1:57" s="90" customFormat="1" ht="15" hidden="1" customHeight="1" x14ac:dyDescent="0.25">
      <c r="A94" s="187" t="b">
        <v>1</v>
      </c>
      <c r="B94" s="188" t="b">
        <v>1</v>
      </c>
      <c r="C94" s="179" t="e">
        <f t="shared" si="26"/>
        <v>#N/A</v>
      </c>
      <c r="E94" s="180">
        <v>2065</v>
      </c>
      <c r="F94" s="100">
        <f t="shared" si="25"/>
        <v>94</v>
      </c>
      <c r="G94" s="181">
        <f t="shared" si="27"/>
        <v>-27</v>
      </c>
      <c r="H94" s="181" t="e">
        <f t="shared" si="29"/>
        <v>#N/A</v>
      </c>
      <c r="J94" s="182">
        <v>0</v>
      </c>
      <c r="K94" s="101"/>
      <c r="L94" s="183" t="e">
        <f t="shared" si="28"/>
        <v>#N/A</v>
      </c>
      <c r="M94" s="184"/>
      <c r="N94" s="91"/>
      <c r="O94" s="91"/>
      <c r="P94" s="90">
        <v>0</v>
      </c>
      <c r="Q94" s="87">
        <v>1</v>
      </c>
      <c r="R94" s="185">
        <v>0</v>
      </c>
      <c r="S94" s="185">
        <v>0</v>
      </c>
      <c r="T94" s="185">
        <v>0</v>
      </c>
      <c r="U94" s="185">
        <v>0</v>
      </c>
      <c r="V94" s="182">
        <v>0</v>
      </c>
      <c r="W94" s="182">
        <v>0</v>
      </c>
      <c r="X94" s="182">
        <v>0</v>
      </c>
      <c r="Y94" s="182">
        <v>0</v>
      </c>
      <c r="Z94" s="182">
        <v>0</v>
      </c>
      <c r="AA94" s="182">
        <v>0</v>
      </c>
      <c r="AB94" s="182">
        <v>0</v>
      </c>
      <c r="AC94" s="182">
        <v>0</v>
      </c>
      <c r="AD94" s="182">
        <v>0</v>
      </c>
      <c r="AE94" s="182">
        <v>0</v>
      </c>
      <c r="AF94" s="182">
        <v>0</v>
      </c>
      <c r="AG94" s="182">
        <v>0</v>
      </c>
      <c r="AH94" s="182">
        <v>0</v>
      </c>
      <c r="AI94" s="182">
        <v>0</v>
      </c>
      <c r="AJ94" s="182">
        <v>0</v>
      </c>
      <c r="AL94" s="185">
        <f t="shared" si="30"/>
        <v>1</v>
      </c>
      <c r="AM94" s="185">
        <f t="shared" si="31"/>
        <v>0</v>
      </c>
      <c r="AN94" s="185">
        <f t="shared" si="32"/>
        <v>0</v>
      </c>
      <c r="AO94" s="185">
        <f t="shared" si="33"/>
        <v>0</v>
      </c>
      <c r="AP94" s="185">
        <f t="shared" si="34"/>
        <v>0</v>
      </c>
      <c r="AQ94" s="185">
        <f t="shared" si="35"/>
        <v>0</v>
      </c>
      <c r="AR94" s="185">
        <f t="shared" si="36"/>
        <v>0</v>
      </c>
      <c r="AS94" s="185">
        <f t="shared" si="37"/>
        <v>0</v>
      </c>
      <c r="AT94" s="185">
        <f t="shared" si="38"/>
        <v>0</v>
      </c>
      <c r="AU94" s="185">
        <f t="shared" si="39"/>
        <v>0</v>
      </c>
      <c r="AV94" s="185">
        <f t="shared" si="40"/>
        <v>0</v>
      </c>
      <c r="AW94" s="185">
        <f t="shared" si="41"/>
        <v>0</v>
      </c>
      <c r="AX94" s="185">
        <f t="shared" si="42"/>
        <v>0</v>
      </c>
      <c r="AY94" s="185">
        <f t="shared" si="43"/>
        <v>0</v>
      </c>
      <c r="AZ94" s="185">
        <f t="shared" si="44"/>
        <v>0</v>
      </c>
      <c r="BA94" s="185">
        <f t="shared" si="45"/>
        <v>0</v>
      </c>
      <c r="BB94" s="185">
        <f t="shared" si="46"/>
        <v>0</v>
      </c>
      <c r="BC94" s="185">
        <f t="shared" si="47"/>
        <v>0</v>
      </c>
      <c r="BD94" s="185">
        <f t="shared" si="23"/>
        <v>0</v>
      </c>
      <c r="BE94" s="185">
        <f t="shared" si="24"/>
        <v>0</v>
      </c>
    </row>
    <row r="95" spans="1:57" s="90" customFormat="1" ht="15" hidden="1" customHeight="1" x14ac:dyDescent="0.25">
      <c r="A95" s="187" t="b">
        <v>1</v>
      </c>
      <c r="B95" s="188" t="b">
        <v>1</v>
      </c>
      <c r="C95" s="179" t="e">
        <f t="shared" si="26"/>
        <v>#N/A</v>
      </c>
      <c r="E95" s="180">
        <v>2066</v>
      </c>
      <c r="F95" s="100">
        <f t="shared" si="25"/>
        <v>95</v>
      </c>
      <c r="G95" s="181">
        <f t="shared" si="27"/>
        <v>-28</v>
      </c>
      <c r="H95" s="181" t="e">
        <f t="shared" si="29"/>
        <v>#N/A</v>
      </c>
      <c r="J95" s="182">
        <v>0</v>
      </c>
      <c r="K95" s="101"/>
      <c r="L95" s="183" t="e">
        <f t="shared" si="28"/>
        <v>#N/A</v>
      </c>
      <c r="M95" s="184"/>
      <c r="N95" s="91"/>
      <c r="O95" s="91"/>
      <c r="P95" s="90">
        <v>0</v>
      </c>
      <c r="Q95" s="87">
        <v>1</v>
      </c>
      <c r="R95" s="185">
        <v>0</v>
      </c>
      <c r="S95" s="185">
        <v>0</v>
      </c>
      <c r="T95" s="185">
        <v>0</v>
      </c>
      <c r="U95" s="185">
        <v>0</v>
      </c>
      <c r="V95" s="182">
        <v>0</v>
      </c>
      <c r="W95" s="182">
        <v>0</v>
      </c>
      <c r="X95" s="182">
        <v>0</v>
      </c>
      <c r="Y95" s="182">
        <v>0</v>
      </c>
      <c r="Z95" s="182">
        <v>0</v>
      </c>
      <c r="AA95" s="182">
        <v>0</v>
      </c>
      <c r="AB95" s="182">
        <v>0</v>
      </c>
      <c r="AC95" s="182">
        <v>0</v>
      </c>
      <c r="AD95" s="182">
        <v>0</v>
      </c>
      <c r="AE95" s="182">
        <v>0</v>
      </c>
      <c r="AF95" s="182">
        <v>0</v>
      </c>
      <c r="AG95" s="182">
        <v>0</v>
      </c>
      <c r="AH95" s="182">
        <v>0</v>
      </c>
      <c r="AI95" s="182">
        <v>0</v>
      </c>
      <c r="AJ95" s="182">
        <v>0</v>
      </c>
      <c r="AL95" s="185">
        <f t="shared" si="30"/>
        <v>1</v>
      </c>
      <c r="AM95" s="185">
        <f t="shared" si="31"/>
        <v>0</v>
      </c>
      <c r="AN95" s="185">
        <f t="shared" si="32"/>
        <v>0</v>
      </c>
      <c r="AO95" s="185">
        <f t="shared" si="33"/>
        <v>0</v>
      </c>
      <c r="AP95" s="185">
        <f t="shared" si="34"/>
        <v>0</v>
      </c>
      <c r="AQ95" s="185">
        <f t="shared" si="35"/>
        <v>0</v>
      </c>
      <c r="AR95" s="185">
        <f t="shared" si="36"/>
        <v>0</v>
      </c>
      <c r="AS95" s="185">
        <f t="shared" si="37"/>
        <v>0</v>
      </c>
      <c r="AT95" s="185">
        <f t="shared" si="38"/>
        <v>0</v>
      </c>
      <c r="AU95" s="185">
        <f t="shared" si="39"/>
        <v>0</v>
      </c>
      <c r="AV95" s="185">
        <f t="shared" si="40"/>
        <v>0</v>
      </c>
      <c r="AW95" s="185">
        <f t="shared" si="41"/>
        <v>0</v>
      </c>
      <c r="AX95" s="185">
        <f t="shared" si="42"/>
        <v>0</v>
      </c>
      <c r="AY95" s="185">
        <f t="shared" si="43"/>
        <v>0</v>
      </c>
      <c r="AZ95" s="185">
        <f t="shared" si="44"/>
        <v>0</v>
      </c>
      <c r="BA95" s="185">
        <f t="shared" si="45"/>
        <v>0</v>
      </c>
      <c r="BB95" s="185">
        <f t="shared" si="46"/>
        <v>0</v>
      </c>
      <c r="BC95" s="185">
        <f t="shared" si="47"/>
        <v>0</v>
      </c>
      <c r="BD95" s="185">
        <f t="shared" si="23"/>
        <v>0</v>
      </c>
      <c r="BE95" s="185">
        <f t="shared" si="24"/>
        <v>0</v>
      </c>
    </row>
    <row r="96" spans="1:57" s="90" customFormat="1" ht="15" hidden="1" customHeight="1" x14ac:dyDescent="0.25">
      <c r="A96" s="187" t="b">
        <v>1</v>
      </c>
      <c r="B96" s="188" t="b">
        <v>1</v>
      </c>
      <c r="C96" s="179" t="e">
        <f t="shared" si="26"/>
        <v>#N/A</v>
      </c>
      <c r="E96" s="180">
        <v>2067</v>
      </c>
      <c r="F96" s="100">
        <f t="shared" si="25"/>
        <v>96</v>
      </c>
      <c r="G96" s="181">
        <f t="shared" si="27"/>
        <v>-29</v>
      </c>
      <c r="H96" s="181" t="e">
        <f t="shared" si="29"/>
        <v>#N/A</v>
      </c>
      <c r="J96" s="182">
        <v>0</v>
      </c>
      <c r="K96" s="101"/>
      <c r="L96" s="183" t="e">
        <f t="shared" si="28"/>
        <v>#N/A</v>
      </c>
      <c r="M96" s="184"/>
      <c r="N96" s="91"/>
      <c r="O96" s="91"/>
      <c r="P96" s="90">
        <v>0</v>
      </c>
      <c r="Q96" s="87">
        <v>1</v>
      </c>
      <c r="R96" s="185">
        <v>0</v>
      </c>
      <c r="S96" s="185">
        <v>0</v>
      </c>
      <c r="T96" s="185">
        <v>0</v>
      </c>
      <c r="U96" s="185">
        <v>0</v>
      </c>
      <c r="V96" s="182">
        <v>0</v>
      </c>
      <c r="W96" s="182">
        <v>0</v>
      </c>
      <c r="X96" s="182">
        <v>0</v>
      </c>
      <c r="Y96" s="182">
        <v>0</v>
      </c>
      <c r="Z96" s="182">
        <v>0</v>
      </c>
      <c r="AA96" s="182">
        <v>0</v>
      </c>
      <c r="AB96" s="182">
        <v>0</v>
      </c>
      <c r="AC96" s="182">
        <v>0</v>
      </c>
      <c r="AD96" s="182">
        <v>0</v>
      </c>
      <c r="AE96" s="182">
        <v>0</v>
      </c>
      <c r="AF96" s="182">
        <v>0</v>
      </c>
      <c r="AG96" s="182">
        <v>0</v>
      </c>
      <c r="AH96" s="182">
        <v>0</v>
      </c>
      <c r="AI96" s="182">
        <v>0</v>
      </c>
      <c r="AJ96" s="182">
        <v>0</v>
      </c>
      <c r="AL96" s="185">
        <f t="shared" si="30"/>
        <v>1</v>
      </c>
      <c r="AM96" s="185">
        <f t="shared" si="31"/>
        <v>0</v>
      </c>
      <c r="AN96" s="185">
        <f t="shared" si="32"/>
        <v>0</v>
      </c>
      <c r="AO96" s="185">
        <f t="shared" si="33"/>
        <v>0</v>
      </c>
      <c r="AP96" s="185">
        <f t="shared" si="34"/>
        <v>0</v>
      </c>
      <c r="AQ96" s="185">
        <f t="shared" si="35"/>
        <v>0</v>
      </c>
      <c r="AR96" s="185">
        <f t="shared" si="36"/>
        <v>0</v>
      </c>
      <c r="AS96" s="185">
        <f t="shared" si="37"/>
        <v>0</v>
      </c>
      <c r="AT96" s="185">
        <f t="shared" si="38"/>
        <v>0</v>
      </c>
      <c r="AU96" s="185">
        <f t="shared" si="39"/>
        <v>0</v>
      </c>
      <c r="AV96" s="185">
        <f t="shared" si="40"/>
        <v>0</v>
      </c>
      <c r="AW96" s="185">
        <f t="shared" si="41"/>
        <v>0</v>
      </c>
      <c r="AX96" s="185">
        <f t="shared" si="42"/>
        <v>0</v>
      </c>
      <c r="AY96" s="185">
        <f t="shared" si="43"/>
        <v>0</v>
      </c>
      <c r="AZ96" s="185">
        <f t="shared" si="44"/>
        <v>0</v>
      </c>
      <c r="BA96" s="185">
        <f t="shared" si="45"/>
        <v>0</v>
      </c>
      <c r="BB96" s="185">
        <f t="shared" si="46"/>
        <v>0</v>
      </c>
      <c r="BC96" s="185">
        <f t="shared" si="47"/>
        <v>0</v>
      </c>
      <c r="BD96" s="185">
        <f t="shared" si="23"/>
        <v>0</v>
      </c>
      <c r="BE96" s="185">
        <f t="shared" si="24"/>
        <v>0</v>
      </c>
    </row>
    <row r="97" spans="1:57" s="90" customFormat="1" ht="15" hidden="1" customHeight="1" x14ac:dyDescent="0.25">
      <c r="A97" s="187" t="b">
        <v>1</v>
      </c>
      <c r="B97" s="188" t="b">
        <v>1</v>
      </c>
      <c r="C97" s="179" t="e">
        <f t="shared" si="26"/>
        <v>#N/A</v>
      </c>
      <c r="E97" s="180">
        <v>2068</v>
      </c>
      <c r="F97" s="100">
        <f t="shared" si="25"/>
        <v>97</v>
      </c>
      <c r="G97" s="181">
        <f t="shared" si="27"/>
        <v>-30</v>
      </c>
      <c r="H97" s="181" t="e">
        <f t="shared" si="29"/>
        <v>#N/A</v>
      </c>
      <c r="J97" s="182">
        <v>0</v>
      </c>
      <c r="K97" s="101"/>
      <c r="L97" s="183" t="e">
        <f t="shared" si="28"/>
        <v>#N/A</v>
      </c>
      <c r="M97" s="184"/>
      <c r="N97" s="91"/>
      <c r="O97" s="91"/>
      <c r="P97" s="90">
        <v>0</v>
      </c>
      <c r="Q97" s="87">
        <v>1</v>
      </c>
      <c r="R97" s="185">
        <v>0</v>
      </c>
      <c r="S97" s="185">
        <v>0</v>
      </c>
      <c r="T97" s="185">
        <v>0</v>
      </c>
      <c r="U97" s="185">
        <v>0</v>
      </c>
      <c r="V97" s="182">
        <v>0</v>
      </c>
      <c r="W97" s="182">
        <v>0</v>
      </c>
      <c r="X97" s="182">
        <v>0</v>
      </c>
      <c r="Y97" s="182">
        <v>0</v>
      </c>
      <c r="Z97" s="182">
        <v>0</v>
      </c>
      <c r="AA97" s="182">
        <v>0</v>
      </c>
      <c r="AB97" s="182">
        <v>0</v>
      </c>
      <c r="AC97" s="182">
        <v>0</v>
      </c>
      <c r="AD97" s="182">
        <v>0</v>
      </c>
      <c r="AE97" s="182">
        <v>0</v>
      </c>
      <c r="AF97" s="182">
        <v>0</v>
      </c>
      <c r="AG97" s="182">
        <v>0</v>
      </c>
      <c r="AH97" s="182">
        <v>0</v>
      </c>
      <c r="AI97" s="182">
        <v>0</v>
      </c>
      <c r="AJ97" s="182">
        <v>0</v>
      </c>
      <c r="AL97" s="185">
        <f t="shared" si="30"/>
        <v>1</v>
      </c>
      <c r="AM97" s="185">
        <f t="shared" si="31"/>
        <v>0</v>
      </c>
      <c r="AN97" s="185">
        <f t="shared" si="32"/>
        <v>0</v>
      </c>
      <c r="AO97" s="185">
        <f t="shared" si="33"/>
        <v>0</v>
      </c>
      <c r="AP97" s="185">
        <f t="shared" si="34"/>
        <v>0</v>
      </c>
      <c r="AQ97" s="185">
        <f t="shared" si="35"/>
        <v>0</v>
      </c>
      <c r="AR97" s="185">
        <f t="shared" si="36"/>
        <v>0</v>
      </c>
      <c r="AS97" s="185">
        <f t="shared" si="37"/>
        <v>0</v>
      </c>
      <c r="AT97" s="185">
        <f t="shared" si="38"/>
        <v>0</v>
      </c>
      <c r="AU97" s="185">
        <f t="shared" si="39"/>
        <v>0</v>
      </c>
      <c r="AV97" s="185">
        <f t="shared" si="40"/>
        <v>0</v>
      </c>
      <c r="AW97" s="185">
        <f t="shared" si="41"/>
        <v>0</v>
      </c>
      <c r="AX97" s="185">
        <f t="shared" si="42"/>
        <v>0</v>
      </c>
      <c r="AY97" s="185">
        <f t="shared" si="43"/>
        <v>0</v>
      </c>
      <c r="AZ97" s="185">
        <f t="shared" si="44"/>
        <v>0</v>
      </c>
      <c r="BA97" s="185">
        <f t="shared" si="45"/>
        <v>0</v>
      </c>
      <c r="BB97" s="185">
        <f t="shared" si="46"/>
        <v>0</v>
      </c>
      <c r="BC97" s="185">
        <f t="shared" si="47"/>
        <v>0</v>
      </c>
      <c r="BD97" s="185">
        <f t="shared" si="23"/>
        <v>0</v>
      </c>
      <c r="BE97" s="185">
        <f t="shared" si="24"/>
        <v>0</v>
      </c>
    </row>
    <row r="98" spans="1:57" s="90" customFormat="1" ht="15" hidden="1" customHeight="1" x14ac:dyDescent="0.25">
      <c r="A98" s="187" t="b">
        <v>1</v>
      </c>
      <c r="B98" s="188" t="b">
        <v>1</v>
      </c>
      <c r="C98" s="179" t="e">
        <f t="shared" si="26"/>
        <v>#N/A</v>
      </c>
      <c r="E98" s="180">
        <v>2069</v>
      </c>
      <c r="F98" s="100">
        <f t="shared" si="25"/>
        <v>98</v>
      </c>
      <c r="G98" s="181">
        <f t="shared" si="27"/>
        <v>-31</v>
      </c>
      <c r="H98" s="181" t="e">
        <f t="shared" si="29"/>
        <v>#N/A</v>
      </c>
      <c r="J98" s="182">
        <v>0</v>
      </c>
      <c r="K98" s="101"/>
      <c r="L98" s="183" t="e">
        <f t="shared" si="28"/>
        <v>#N/A</v>
      </c>
      <c r="M98" s="184"/>
      <c r="N98" s="91"/>
      <c r="O98" s="91"/>
      <c r="P98" s="90">
        <v>0</v>
      </c>
      <c r="Q98" s="87">
        <v>1</v>
      </c>
      <c r="R98" s="185">
        <v>0</v>
      </c>
      <c r="S98" s="185">
        <v>0</v>
      </c>
      <c r="T98" s="185">
        <v>0</v>
      </c>
      <c r="U98" s="185">
        <v>0</v>
      </c>
      <c r="V98" s="182">
        <v>0</v>
      </c>
      <c r="W98" s="182">
        <v>0</v>
      </c>
      <c r="X98" s="182">
        <v>0</v>
      </c>
      <c r="Y98" s="182">
        <v>0</v>
      </c>
      <c r="Z98" s="182">
        <v>0</v>
      </c>
      <c r="AA98" s="182">
        <v>0</v>
      </c>
      <c r="AB98" s="182">
        <v>0</v>
      </c>
      <c r="AC98" s="182">
        <v>0</v>
      </c>
      <c r="AD98" s="182">
        <v>0</v>
      </c>
      <c r="AE98" s="182">
        <v>0</v>
      </c>
      <c r="AF98" s="182">
        <v>0</v>
      </c>
      <c r="AG98" s="182">
        <v>0</v>
      </c>
      <c r="AH98" s="182">
        <v>0</v>
      </c>
      <c r="AI98" s="182">
        <v>0</v>
      </c>
      <c r="AJ98" s="182">
        <v>0</v>
      </c>
      <c r="AL98" s="185">
        <f t="shared" si="30"/>
        <v>1</v>
      </c>
      <c r="AM98" s="185">
        <f t="shared" si="31"/>
        <v>0</v>
      </c>
      <c r="AN98" s="185">
        <f t="shared" si="32"/>
        <v>0</v>
      </c>
      <c r="AO98" s="185">
        <f t="shared" si="33"/>
        <v>0</v>
      </c>
      <c r="AP98" s="185">
        <f t="shared" si="34"/>
        <v>0</v>
      </c>
      <c r="AQ98" s="185">
        <f t="shared" si="35"/>
        <v>0</v>
      </c>
      <c r="AR98" s="185">
        <f t="shared" si="36"/>
        <v>0</v>
      </c>
      <c r="AS98" s="185">
        <f t="shared" si="37"/>
        <v>0</v>
      </c>
      <c r="AT98" s="185">
        <f t="shared" si="38"/>
        <v>0</v>
      </c>
      <c r="AU98" s="185">
        <f t="shared" si="39"/>
        <v>0</v>
      </c>
      <c r="AV98" s="185">
        <f t="shared" si="40"/>
        <v>0</v>
      </c>
      <c r="AW98" s="185">
        <f t="shared" si="41"/>
        <v>0</v>
      </c>
      <c r="AX98" s="185">
        <f t="shared" si="42"/>
        <v>0</v>
      </c>
      <c r="AY98" s="185">
        <f t="shared" si="43"/>
        <v>0</v>
      </c>
      <c r="AZ98" s="185">
        <f t="shared" si="44"/>
        <v>0</v>
      </c>
      <c r="BA98" s="185">
        <f t="shared" si="45"/>
        <v>0</v>
      </c>
      <c r="BB98" s="185">
        <f t="shared" si="46"/>
        <v>0</v>
      </c>
      <c r="BC98" s="185">
        <f t="shared" si="47"/>
        <v>0</v>
      </c>
      <c r="BD98" s="185">
        <f t="shared" si="23"/>
        <v>0</v>
      </c>
      <c r="BE98" s="185">
        <f t="shared" si="24"/>
        <v>0</v>
      </c>
    </row>
    <row r="99" spans="1:57" s="90" customFormat="1" ht="15" hidden="1" customHeight="1" x14ac:dyDescent="0.25">
      <c r="A99" s="187" t="b">
        <v>1</v>
      </c>
      <c r="B99" s="188" t="b">
        <v>1</v>
      </c>
      <c r="C99" s="179" t="e">
        <f t="shared" si="26"/>
        <v>#N/A</v>
      </c>
      <c r="E99" s="180">
        <v>2070</v>
      </c>
      <c r="F99" s="100">
        <f t="shared" si="25"/>
        <v>99</v>
      </c>
      <c r="G99" s="181">
        <f t="shared" si="27"/>
        <v>-32</v>
      </c>
      <c r="H99" s="181" t="e">
        <f t="shared" si="29"/>
        <v>#N/A</v>
      </c>
      <c r="J99" s="182">
        <v>0</v>
      </c>
      <c r="K99" s="101"/>
      <c r="L99" s="183" t="e">
        <f t="shared" si="28"/>
        <v>#N/A</v>
      </c>
      <c r="M99" s="184"/>
      <c r="N99" s="91"/>
      <c r="O99" s="91"/>
      <c r="P99" s="90">
        <v>0</v>
      </c>
      <c r="Q99" s="87">
        <v>1</v>
      </c>
      <c r="R99" s="185">
        <v>0</v>
      </c>
      <c r="S99" s="185">
        <v>0</v>
      </c>
      <c r="T99" s="185">
        <v>0</v>
      </c>
      <c r="U99" s="185">
        <v>0</v>
      </c>
      <c r="V99" s="182">
        <v>0</v>
      </c>
      <c r="W99" s="182">
        <v>0</v>
      </c>
      <c r="X99" s="182">
        <v>0</v>
      </c>
      <c r="Y99" s="182">
        <v>0</v>
      </c>
      <c r="Z99" s="182">
        <v>0</v>
      </c>
      <c r="AA99" s="182">
        <v>0</v>
      </c>
      <c r="AB99" s="182">
        <v>0</v>
      </c>
      <c r="AC99" s="182">
        <v>0</v>
      </c>
      <c r="AD99" s="182">
        <v>0</v>
      </c>
      <c r="AE99" s="182">
        <v>0</v>
      </c>
      <c r="AF99" s="182">
        <v>0</v>
      </c>
      <c r="AG99" s="182">
        <v>0</v>
      </c>
      <c r="AH99" s="182">
        <v>0</v>
      </c>
      <c r="AI99" s="182">
        <v>0</v>
      </c>
      <c r="AJ99" s="182">
        <v>0</v>
      </c>
      <c r="AL99" s="185">
        <f t="shared" si="30"/>
        <v>1</v>
      </c>
      <c r="AM99" s="185">
        <f t="shared" si="31"/>
        <v>0</v>
      </c>
      <c r="AN99" s="185">
        <f t="shared" si="32"/>
        <v>0</v>
      </c>
      <c r="AO99" s="185">
        <f t="shared" si="33"/>
        <v>0</v>
      </c>
      <c r="AP99" s="185">
        <f t="shared" si="34"/>
        <v>0</v>
      </c>
      <c r="AQ99" s="185">
        <f t="shared" si="35"/>
        <v>0</v>
      </c>
      <c r="AR99" s="185">
        <f t="shared" si="36"/>
        <v>0</v>
      </c>
      <c r="AS99" s="185">
        <f t="shared" si="37"/>
        <v>0</v>
      </c>
      <c r="AT99" s="185">
        <f t="shared" si="38"/>
        <v>0</v>
      </c>
      <c r="AU99" s="185">
        <f t="shared" si="39"/>
        <v>0</v>
      </c>
      <c r="AV99" s="185">
        <f t="shared" si="40"/>
        <v>0</v>
      </c>
      <c r="AW99" s="185">
        <f t="shared" si="41"/>
        <v>0</v>
      </c>
      <c r="AX99" s="185">
        <f t="shared" si="42"/>
        <v>0</v>
      </c>
      <c r="AY99" s="185">
        <f t="shared" si="43"/>
        <v>0</v>
      </c>
      <c r="AZ99" s="185">
        <f t="shared" si="44"/>
        <v>0</v>
      </c>
      <c r="BA99" s="185">
        <f t="shared" si="45"/>
        <v>0</v>
      </c>
      <c r="BB99" s="185">
        <f t="shared" si="46"/>
        <v>0</v>
      </c>
      <c r="BC99" s="185">
        <f t="shared" si="47"/>
        <v>0</v>
      </c>
      <c r="BD99" s="185">
        <f t="shared" si="23"/>
        <v>0</v>
      </c>
      <c r="BE99" s="185">
        <f t="shared" si="24"/>
        <v>0</v>
      </c>
    </row>
    <row r="100" spans="1:57" s="90" customFormat="1" ht="15" hidden="1" customHeight="1" x14ac:dyDescent="0.25">
      <c r="A100" s="187" t="b">
        <v>1</v>
      </c>
      <c r="B100" s="188" t="b">
        <v>1</v>
      </c>
      <c r="C100" s="179" t="e">
        <f t="shared" si="26"/>
        <v>#N/A</v>
      </c>
      <c r="E100" s="180">
        <v>2071</v>
      </c>
      <c r="F100" s="100">
        <f t="shared" si="25"/>
        <v>100</v>
      </c>
      <c r="G100" s="181">
        <f t="shared" si="27"/>
        <v>-33</v>
      </c>
      <c r="H100" s="181" t="e">
        <f t="shared" si="29"/>
        <v>#N/A</v>
      </c>
      <c r="J100" s="182">
        <v>0</v>
      </c>
      <c r="K100" s="101"/>
      <c r="L100" s="183" t="e">
        <f t="shared" si="28"/>
        <v>#N/A</v>
      </c>
      <c r="M100" s="184"/>
      <c r="N100" s="91"/>
      <c r="O100" s="91"/>
      <c r="P100" s="90">
        <v>0</v>
      </c>
      <c r="Q100" s="87">
        <v>1</v>
      </c>
      <c r="R100" s="185">
        <v>0</v>
      </c>
      <c r="S100" s="185">
        <v>0</v>
      </c>
      <c r="T100" s="185">
        <v>0</v>
      </c>
      <c r="U100" s="185">
        <v>0</v>
      </c>
      <c r="V100" s="182">
        <v>0</v>
      </c>
      <c r="W100" s="182">
        <v>0</v>
      </c>
      <c r="X100" s="182">
        <v>0</v>
      </c>
      <c r="Y100" s="182">
        <v>0</v>
      </c>
      <c r="Z100" s="182">
        <v>0</v>
      </c>
      <c r="AA100" s="182">
        <v>0</v>
      </c>
      <c r="AB100" s="182">
        <v>0</v>
      </c>
      <c r="AC100" s="182">
        <v>0</v>
      </c>
      <c r="AD100" s="182">
        <v>0</v>
      </c>
      <c r="AE100" s="182">
        <v>0</v>
      </c>
      <c r="AF100" s="182">
        <v>0</v>
      </c>
      <c r="AG100" s="182">
        <v>0</v>
      </c>
      <c r="AH100" s="182">
        <v>0</v>
      </c>
      <c r="AI100" s="182">
        <v>0</v>
      </c>
      <c r="AJ100" s="182">
        <v>0</v>
      </c>
      <c r="AL100" s="185">
        <f t="shared" si="30"/>
        <v>1</v>
      </c>
      <c r="AM100" s="185">
        <f t="shared" si="31"/>
        <v>0</v>
      </c>
      <c r="AN100" s="185">
        <f t="shared" si="32"/>
        <v>0</v>
      </c>
      <c r="AO100" s="185">
        <f t="shared" si="33"/>
        <v>0</v>
      </c>
      <c r="AP100" s="185">
        <f t="shared" si="34"/>
        <v>0</v>
      </c>
      <c r="AQ100" s="185">
        <f t="shared" si="35"/>
        <v>0</v>
      </c>
      <c r="AR100" s="185">
        <f t="shared" si="36"/>
        <v>0</v>
      </c>
      <c r="AS100" s="185">
        <f t="shared" si="37"/>
        <v>0</v>
      </c>
      <c r="AT100" s="185">
        <f t="shared" si="38"/>
        <v>0</v>
      </c>
      <c r="AU100" s="185">
        <f t="shared" si="39"/>
        <v>0</v>
      </c>
      <c r="AV100" s="185">
        <f t="shared" si="40"/>
        <v>0</v>
      </c>
      <c r="AW100" s="185">
        <f t="shared" si="41"/>
        <v>0</v>
      </c>
      <c r="AX100" s="185">
        <f t="shared" si="42"/>
        <v>0</v>
      </c>
      <c r="AY100" s="185">
        <f t="shared" si="43"/>
        <v>0</v>
      </c>
      <c r="AZ100" s="185">
        <f t="shared" si="44"/>
        <v>0</v>
      </c>
      <c r="BA100" s="185">
        <f t="shared" si="45"/>
        <v>0</v>
      </c>
      <c r="BB100" s="185">
        <f t="shared" si="46"/>
        <v>0</v>
      </c>
      <c r="BC100" s="185">
        <f t="shared" si="47"/>
        <v>0</v>
      </c>
      <c r="BD100" s="185">
        <f t="shared" si="23"/>
        <v>0</v>
      </c>
      <c r="BE100" s="185">
        <f t="shared" si="24"/>
        <v>0</v>
      </c>
    </row>
    <row r="101" spans="1:57" s="90" customFormat="1" ht="15" hidden="1" customHeight="1" x14ac:dyDescent="0.25">
      <c r="A101" s="187" t="b">
        <v>1</v>
      </c>
      <c r="B101" s="188" t="b">
        <v>1</v>
      </c>
      <c r="C101" s="179" t="e">
        <f t="shared" si="26"/>
        <v>#N/A</v>
      </c>
      <c r="E101" s="180">
        <v>2072</v>
      </c>
      <c r="F101" s="100">
        <f t="shared" si="25"/>
        <v>101</v>
      </c>
      <c r="G101" s="181">
        <f t="shared" si="27"/>
        <v>-34</v>
      </c>
      <c r="H101" s="181" t="e">
        <f t="shared" si="29"/>
        <v>#N/A</v>
      </c>
      <c r="J101" s="182">
        <v>0</v>
      </c>
      <c r="K101" s="101"/>
      <c r="L101" s="183" t="e">
        <f t="shared" si="28"/>
        <v>#N/A</v>
      </c>
      <c r="M101" s="184"/>
      <c r="N101" s="91"/>
      <c r="O101" s="91"/>
      <c r="P101" s="90">
        <v>0</v>
      </c>
      <c r="Q101" s="87">
        <v>1</v>
      </c>
      <c r="R101" s="185">
        <v>0</v>
      </c>
      <c r="S101" s="185">
        <v>0</v>
      </c>
      <c r="T101" s="185">
        <v>0</v>
      </c>
      <c r="U101" s="185">
        <v>0</v>
      </c>
      <c r="V101" s="182">
        <v>0</v>
      </c>
      <c r="W101" s="182">
        <v>0</v>
      </c>
      <c r="X101" s="182">
        <v>0</v>
      </c>
      <c r="Y101" s="182">
        <v>0</v>
      </c>
      <c r="Z101" s="182">
        <v>0</v>
      </c>
      <c r="AA101" s="182">
        <v>0</v>
      </c>
      <c r="AB101" s="182">
        <v>0</v>
      </c>
      <c r="AC101" s="182">
        <v>0</v>
      </c>
      <c r="AD101" s="182">
        <v>0</v>
      </c>
      <c r="AE101" s="182">
        <v>0</v>
      </c>
      <c r="AF101" s="182">
        <v>0</v>
      </c>
      <c r="AG101" s="182">
        <v>0</v>
      </c>
      <c r="AH101" s="182">
        <v>0</v>
      </c>
      <c r="AI101" s="182">
        <v>0</v>
      </c>
      <c r="AJ101" s="182">
        <v>0</v>
      </c>
      <c r="AL101" s="185">
        <f t="shared" si="30"/>
        <v>1</v>
      </c>
      <c r="AM101" s="185">
        <f t="shared" si="31"/>
        <v>0</v>
      </c>
      <c r="AN101" s="185">
        <f t="shared" si="32"/>
        <v>0</v>
      </c>
      <c r="AO101" s="185">
        <f t="shared" si="33"/>
        <v>0</v>
      </c>
      <c r="AP101" s="185">
        <f t="shared" si="34"/>
        <v>0</v>
      </c>
      <c r="AQ101" s="185">
        <f t="shared" si="35"/>
        <v>0</v>
      </c>
      <c r="AR101" s="185">
        <f t="shared" si="36"/>
        <v>0</v>
      </c>
      <c r="AS101" s="185">
        <f t="shared" si="37"/>
        <v>0</v>
      </c>
      <c r="AT101" s="185">
        <f t="shared" si="38"/>
        <v>0</v>
      </c>
      <c r="AU101" s="185">
        <f t="shared" si="39"/>
        <v>0</v>
      </c>
      <c r="AV101" s="185">
        <f t="shared" si="40"/>
        <v>0</v>
      </c>
      <c r="AW101" s="185">
        <f t="shared" si="41"/>
        <v>0</v>
      </c>
      <c r="AX101" s="185">
        <f t="shared" si="42"/>
        <v>0</v>
      </c>
      <c r="AY101" s="185">
        <f t="shared" si="43"/>
        <v>0</v>
      </c>
      <c r="AZ101" s="185">
        <f t="shared" si="44"/>
        <v>0</v>
      </c>
      <c r="BA101" s="185">
        <f t="shared" si="45"/>
        <v>0</v>
      </c>
      <c r="BB101" s="185">
        <f t="shared" si="46"/>
        <v>0</v>
      </c>
      <c r="BC101" s="185">
        <f t="shared" si="47"/>
        <v>0</v>
      </c>
      <c r="BD101" s="185">
        <f t="shared" si="23"/>
        <v>0</v>
      </c>
      <c r="BE101" s="185">
        <f t="shared" si="24"/>
        <v>0</v>
      </c>
    </row>
    <row r="102" spans="1:57" s="90" customFormat="1" ht="15" hidden="1" customHeight="1" x14ac:dyDescent="0.25">
      <c r="A102" s="187" t="b">
        <v>1</v>
      </c>
      <c r="B102" s="188" t="b">
        <v>1</v>
      </c>
      <c r="C102" s="179" t="e">
        <f t="shared" si="26"/>
        <v>#N/A</v>
      </c>
      <c r="E102" s="180">
        <v>2073</v>
      </c>
      <c r="F102" s="100">
        <f t="shared" si="25"/>
        <v>102</v>
      </c>
      <c r="G102" s="181">
        <f t="shared" si="27"/>
        <v>-35</v>
      </c>
      <c r="H102" s="181" t="e">
        <f t="shared" si="29"/>
        <v>#N/A</v>
      </c>
      <c r="J102" s="182">
        <v>0</v>
      </c>
      <c r="K102" s="101"/>
      <c r="L102" s="183" t="e">
        <f t="shared" si="28"/>
        <v>#N/A</v>
      </c>
      <c r="M102" s="184"/>
      <c r="N102" s="91"/>
      <c r="O102" s="91"/>
      <c r="P102" s="90">
        <v>0</v>
      </c>
      <c r="Q102" s="87">
        <v>1</v>
      </c>
      <c r="R102" s="185">
        <v>0</v>
      </c>
      <c r="S102" s="185">
        <v>0</v>
      </c>
      <c r="T102" s="185">
        <v>0</v>
      </c>
      <c r="U102" s="185">
        <v>0</v>
      </c>
      <c r="V102" s="182">
        <v>0</v>
      </c>
      <c r="W102" s="182">
        <v>0</v>
      </c>
      <c r="X102" s="182">
        <v>0</v>
      </c>
      <c r="Y102" s="182">
        <v>0</v>
      </c>
      <c r="Z102" s="182">
        <v>0</v>
      </c>
      <c r="AA102" s="182">
        <v>0</v>
      </c>
      <c r="AB102" s="182">
        <v>0</v>
      </c>
      <c r="AC102" s="182">
        <v>0</v>
      </c>
      <c r="AD102" s="182">
        <v>0</v>
      </c>
      <c r="AE102" s="182">
        <v>0</v>
      </c>
      <c r="AF102" s="182">
        <v>0</v>
      </c>
      <c r="AG102" s="182">
        <v>0</v>
      </c>
      <c r="AH102" s="182">
        <v>0</v>
      </c>
      <c r="AI102" s="182">
        <v>0</v>
      </c>
      <c r="AJ102" s="182">
        <v>0</v>
      </c>
      <c r="AL102" s="185">
        <f t="shared" si="30"/>
        <v>1</v>
      </c>
      <c r="AM102" s="185">
        <f t="shared" si="31"/>
        <v>0</v>
      </c>
      <c r="AN102" s="185">
        <f t="shared" si="32"/>
        <v>0</v>
      </c>
      <c r="AO102" s="185">
        <f t="shared" si="33"/>
        <v>0</v>
      </c>
      <c r="AP102" s="185">
        <f t="shared" si="34"/>
        <v>0</v>
      </c>
      <c r="AQ102" s="185">
        <f t="shared" si="35"/>
        <v>0</v>
      </c>
      <c r="AR102" s="185">
        <f t="shared" si="36"/>
        <v>0</v>
      </c>
      <c r="AS102" s="185">
        <f t="shared" si="37"/>
        <v>0</v>
      </c>
      <c r="AT102" s="185">
        <f t="shared" si="38"/>
        <v>0</v>
      </c>
      <c r="AU102" s="185">
        <f t="shared" si="39"/>
        <v>0</v>
      </c>
      <c r="AV102" s="185">
        <f t="shared" si="40"/>
        <v>0</v>
      </c>
      <c r="AW102" s="185">
        <f t="shared" si="41"/>
        <v>0</v>
      </c>
      <c r="AX102" s="185">
        <f t="shared" si="42"/>
        <v>0</v>
      </c>
      <c r="AY102" s="185">
        <f t="shared" si="43"/>
        <v>0</v>
      </c>
      <c r="AZ102" s="185">
        <f t="shared" si="44"/>
        <v>0</v>
      </c>
      <c r="BA102" s="185">
        <f t="shared" si="45"/>
        <v>0</v>
      </c>
      <c r="BB102" s="185">
        <f t="shared" si="46"/>
        <v>0</v>
      </c>
      <c r="BC102" s="185">
        <f t="shared" si="47"/>
        <v>0</v>
      </c>
      <c r="BD102" s="185">
        <f t="shared" si="23"/>
        <v>0</v>
      </c>
      <c r="BE102" s="185">
        <f t="shared" si="24"/>
        <v>0</v>
      </c>
    </row>
    <row r="103" spans="1:57" s="90" customFormat="1" ht="15" hidden="1" customHeight="1" x14ac:dyDescent="0.25">
      <c r="A103" s="187" t="b">
        <v>1</v>
      </c>
      <c r="B103" s="188" t="b">
        <v>1</v>
      </c>
      <c r="C103" s="179" t="e">
        <f t="shared" si="26"/>
        <v>#N/A</v>
      </c>
      <c r="E103" s="180">
        <v>2074</v>
      </c>
      <c r="F103" s="100">
        <f t="shared" si="25"/>
        <v>103</v>
      </c>
      <c r="G103" s="181">
        <f t="shared" si="27"/>
        <v>-36</v>
      </c>
      <c r="H103" s="181" t="e">
        <f t="shared" si="29"/>
        <v>#N/A</v>
      </c>
      <c r="J103" s="182">
        <v>0</v>
      </c>
      <c r="K103" s="101"/>
      <c r="L103" s="183" t="e">
        <f t="shared" si="28"/>
        <v>#N/A</v>
      </c>
      <c r="M103" s="184"/>
      <c r="N103" s="91"/>
      <c r="O103" s="91"/>
      <c r="P103" s="90">
        <v>0</v>
      </c>
      <c r="Q103" s="87">
        <v>1</v>
      </c>
      <c r="R103" s="185">
        <v>0</v>
      </c>
      <c r="S103" s="185">
        <v>0</v>
      </c>
      <c r="T103" s="185">
        <v>0</v>
      </c>
      <c r="U103" s="185">
        <v>0</v>
      </c>
      <c r="V103" s="182">
        <v>0</v>
      </c>
      <c r="W103" s="182">
        <v>0</v>
      </c>
      <c r="X103" s="182">
        <v>0</v>
      </c>
      <c r="Y103" s="182">
        <v>0</v>
      </c>
      <c r="Z103" s="182">
        <v>0</v>
      </c>
      <c r="AA103" s="182">
        <v>0</v>
      </c>
      <c r="AB103" s="182">
        <v>0</v>
      </c>
      <c r="AC103" s="182">
        <v>0</v>
      </c>
      <c r="AD103" s="182">
        <v>0</v>
      </c>
      <c r="AE103" s="182">
        <v>0</v>
      </c>
      <c r="AF103" s="182">
        <v>0</v>
      </c>
      <c r="AG103" s="182">
        <v>0</v>
      </c>
      <c r="AH103" s="182">
        <v>0</v>
      </c>
      <c r="AI103" s="182">
        <v>0</v>
      </c>
      <c r="AJ103" s="182">
        <v>0</v>
      </c>
      <c r="AL103" s="185">
        <f t="shared" si="30"/>
        <v>1</v>
      </c>
      <c r="AM103" s="185">
        <f t="shared" si="31"/>
        <v>0</v>
      </c>
      <c r="AN103" s="185">
        <f t="shared" si="32"/>
        <v>0</v>
      </c>
      <c r="AO103" s="185">
        <f t="shared" si="33"/>
        <v>0</v>
      </c>
      <c r="AP103" s="185">
        <f t="shared" si="34"/>
        <v>0</v>
      </c>
      <c r="AQ103" s="185">
        <f t="shared" si="35"/>
        <v>0</v>
      </c>
      <c r="AR103" s="185">
        <f t="shared" si="36"/>
        <v>0</v>
      </c>
      <c r="AS103" s="185">
        <f t="shared" si="37"/>
        <v>0</v>
      </c>
      <c r="AT103" s="185">
        <f t="shared" si="38"/>
        <v>0</v>
      </c>
      <c r="AU103" s="185">
        <f t="shared" si="39"/>
        <v>0</v>
      </c>
      <c r="AV103" s="185">
        <f t="shared" si="40"/>
        <v>0</v>
      </c>
      <c r="AW103" s="185">
        <f t="shared" si="41"/>
        <v>0</v>
      </c>
      <c r="AX103" s="185">
        <f t="shared" si="42"/>
        <v>0</v>
      </c>
      <c r="AY103" s="185">
        <f t="shared" si="43"/>
        <v>0</v>
      </c>
      <c r="AZ103" s="185">
        <f t="shared" si="44"/>
        <v>0</v>
      </c>
      <c r="BA103" s="185">
        <f t="shared" si="45"/>
        <v>0</v>
      </c>
      <c r="BB103" s="185">
        <f t="shared" si="46"/>
        <v>0</v>
      </c>
      <c r="BC103" s="185">
        <f t="shared" si="47"/>
        <v>0</v>
      </c>
      <c r="BD103" s="185">
        <f t="shared" si="23"/>
        <v>0</v>
      </c>
      <c r="BE103" s="185">
        <f t="shared" si="24"/>
        <v>0</v>
      </c>
    </row>
    <row r="104" spans="1:57" s="90" customFormat="1" ht="15" hidden="1" customHeight="1" x14ac:dyDescent="0.25">
      <c r="A104" s="187" t="b">
        <v>1</v>
      </c>
      <c r="B104" s="188" t="b">
        <v>1</v>
      </c>
      <c r="C104" s="179" t="e">
        <f t="shared" si="26"/>
        <v>#N/A</v>
      </c>
      <c r="E104" s="180">
        <v>2075</v>
      </c>
      <c r="F104" s="100">
        <f t="shared" si="25"/>
        <v>104</v>
      </c>
      <c r="G104" s="181">
        <f t="shared" si="27"/>
        <v>-37</v>
      </c>
      <c r="H104" s="181" t="e">
        <f t="shared" si="29"/>
        <v>#N/A</v>
      </c>
      <c r="J104" s="182">
        <v>0</v>
      </c>
      <c r="K104" s="101"/>
      <c r="L104" s="183" t="e">
        <f t="shared" si="28"/>
        <v>#N/A</v>
      </c>
      <c r="M104" s="184"/>
      <c r="N104" s="91"/>
      <c r="O104" s="91"/>
      <c r="P104" s="90">
        <v>0</v>
      </c>
      <c r="Q104" s="87">
        <v>1</v>
      </c>
      <c r="R104" s="185">
        <v>0</v>
      </c>
      <c r="S104" s="185">
        <v>0</v>
      </c>
      <c r="T104" s="185">
        <v>0</v>
      </c>
      <c r="U104" s="185">
        <v>0</v>
      </c>
      <c r="V104" s="182">
        <v>0</v>
      </c>
      <c r="W104" s="182">
        <v>0</v>
      </c>
      <c r="X104" s="182">
        <v>0</v>
      </c>
      <c r="Y104" s="182">
        <v>0</v>
      </c>
      <c r="Z104" s="182">
        <v>0</v>
      </c>
      <c r="AA104" s="182">
        <v>0</v>
      </c>
      <c r="AB104" s="182">
        <v>0</v>
      </c>
      <c r="AC104" s="182">
        <v>0</v>
      </c>
      <c r="AD104" s="182">
        <v>0</v>
      </c>
      <c r="AE104" s="182">
        <v>0</v>
      </c>
      <c r="AF104" s="182">
        <v>0</v>
      </c>
      <c r="AG104" s="182">
        <v>0</v>
      </c>
      <c r="AH104" s="182">
        <v>0</v>
      </c>
      <c r="AI104" s="182">
        <v>0</v>
      </c>
      <c r="AJ104" s="182">
        <v>0</v>
      </c>
      <c r="AL104" s="185">
        <f t="shared" si="30"/>
        <v>1</v>
      </c>
      <c r="AM104" s="185">
        <f t="shared" si="31"/>
        <v>0</v>
      </c>
      <c r="AN104" s="185">
        <f t="shared" si="32"/>
        <v>0</v>
      </c>
      <c r="AO104" s="185">
        <f t="shared" si="33"/>
        <v>0</v>
      </c>
      <c r="AP104" s="185">
        <f t="shared" si="34"/>
        <v>0</v>
      </c>
      <c r="AQ104" s="185">
        <f t="shared" si="35"/>
        <v>0</v>
      </c>
      <c r="AR104" s="185">
        <f t="shared" si="36"/>
        <v>0</v>
      </c>
      <c r="AS104" s="185">
        <f t="shared" si="37"/>
        <v>0</v>
      </c>
      <c r="AT104" s="185">
        <f t="shared" si="38"/>
        <v>0</v>
      </c>
      <c r="AU104" s="185">
        <f t="shared" si="39"/>
        <v>0</v>
      </c>
      <c r="AV104" s="185">
        <f t="shared" si="40"/>
        <v>0</v>
      </c>
      <c r="AW104" s="185">
        <f t="shared" si="41"/>
        <v>0</v>
      </c>
      <c r="AX104" s="185">
        <f t="shared" si="42"/>
        <v>0</v>
      </c>
      <c r="AY104" s="185">
        <f t="shared" si="43"/>
        <v>0</v>
      </c>
      <c r="AZ104" s="185">
        <f t="shared" si="44"/>
        <v>0</v>
      </c>
      <c r="BA104" s="185">
        <f t="shared" si="45"/>
        <v>0</v>
      </c>
      <c r="BB104" s="185">
        <f t="shared" si="46"/>
        <v>0</v>
      </c>
      <c r="BC104" s="185">
        <f t="shared" si="47"/>
        <v>0</v>
      </c>
      <c r="BD104" s="185">
        <f t="shared" si="23"/>
        <v>0</v>
      </c>
      <c r="BE104" s="185">
        <f t="shared" si="24"/>
        <v>0</v>
      </c>
    </row>
    <row r="105" spans="1:57" s="90" customFormat="1" ht="15" hidden="1" customHeight="1" x14ac:dyDescent="0.25">
      <c r="A105" s="187" t="b">
        <v>1</v>
      </c>
      <c r="B105" s="188" t="b">
        <v>1</v>
      </c>
      <c r="C105" s="179" t="e">
        <f t="shared" si="26"/>
        <v>#N/A</v>
      </c>
      <c r="E105" s="180">
        <v>2076</v>
      </c>
      <c r="F105" s="100">
        <f t="shared" si="25"/>
        <v>105</v>
      </c>
      <c r="G105" s="181">
        <f t="shared" si="27"/>
        <v>-38</v>
      </c>
      <c r="H105" s="181" t="e">
        <f t="shared" si="29"/>
        <v>#N/A</v>
      </c>
      <c r="J105" s="182">
        <v>0</v>
      </c>
      <c r="K105" s="101"/>
      <c r="L105" s="183" t="e">
        <f t="shared" si="28"/>
        <v>#N/A</v>
      </c>
      <c r="M105" s="184"/>
      <c r="N105" s="91"/>
      <c r="O105" s="91"/>
      <c r="P105" s="90">
        <v>0</v>
      </c>
      <c r="Q105" s="87">
        <v>1</v>
      </c>
      <c r="R105" s="185">
        <v>0</v>
      </c>
      <c r="S105" s="185">
        <v>0</v>
      </c>
      <c r="T105" s="185">
        <v>0</v>
      </c>
      <c r="U105" s="185">
        <v>0</v>
      </c>
      <c r="V105" s="182">
        <v>0</v>
      </c>
      <c r="W105" s="182">
        <v>0</v>
      </c>
      <c r="X105" s="182">
        <v>0</v>
      </c>
      <c r="Y105" s="182">
        <v>0</v>
      </c>
      <c r="Z105" s="182">
        <v>0</v>
      </c>
      <c r="AA105" s="182">
        <v>0</v>
      </c>
      <c r="AB105" s="182">
        <v>0</v>
      </c>
      <c r="AC105" s="182">
        <v>0</v>
      </c>
      <c r="AD105" s="182">
        <v>0</v>
      </c>
      <c r="AE105" s="182">
        <v>0</v>
      </c>
      <c r="AF105" s="182">
        <v>0</v>
      </c>
      <c r="AG105" s="182">
        <v>0</v>
      </c>
      <c r="AH105" s="182">
        <v>0</v>
      </c>
      <c r="AI105" s="182">
        <v>0</v>
      </c>
      <c r="AJ105" s="182">
        <v>0</v>
      </c>
      <c r="AL105" s="185">
        <f t="shared" si="30"/>
        <v>1</v>
      </c>
      <c r="AM105" s="185">
        <f t="shared" si="31"/>
        <v>0</v>
      </c>
      <c r="AN105" s="185">
        <f t="shared" si="32"/>
        <v>0</v>
      </c>
      <c r="AO105" s="185">
        <f t="shared" si="33"/>
        <v>0</v>
      </c>
      <c r="AP105" s="185">
        <f t="shared" si="34"/>
        <v>0</v>
      </c>
      <c r="AQ105" s="185">
        <f t="shared" si="35"/>
        <v>0</v>
      </c>
      <c r="AR105" s="185">
        <f t="shared" si="36"/>
        <v>0</v>
      </c>
      <c r="AS105" s="185">
        <f t="shared" si="37"/>
        <v>0</v>
      </c>
      <c r="AT105" s="185">
        <f t="shared" si="38"/>
        <v>0</v>
      </c>
      <c r="AU105" s="185">
        <f t="shared" si="39"/>
        <v>0</v>
      </c>
      <c r="AV105" s="185">
        <f t="shared" si="40"/>
        <v>0</v>
      </c>
      <c r="AW105" s="185">
        <f t="shared" si="41"/>
        <v>0</v>
      </c>
      <c r="AX105" s="185">
        <f t="shared" si="42"/>
        <v>0</v>
      </c>
      <c r="AY105" s="185">
        <f t="shared" si="43"/>
        <v>0</v>
      </c>
      <c r="AZ105" s="185">
        <f t="shared" si="44"/>
        <v>0</v>
      </c>
      <c r="BA105" s="185">
        <f t="shared" si="45"/>
        <v>0</v>
      </c>
      <c r="BB105" s="185">
        <f t="shared" si="46"/>
        <v>0</v>
      </c>
      <c r="BC105" s="185">
        <f t="shared" si="47"/>
        <v>0</v>
      </c>
      <c r="BD105" s="185">
        <f t="shared" si="23"/>
        <v>0</v>
      </c>
      <c r="BE105" s="185">
        <f t="shared" si="24"/>
        <v>0</v>
      </c>
    </row>
    <row r="106" spans="1:57" s="90" customFormat="1" ht="15" hidden="1" customHeight="1" x14ac:dyDescent="0.25">
      <c r="A106" s="187" t="b">
        <v>1</v>
      </c>
      <c r="B106" s="188" t="b">
        <v>1</v>
      </c>
      <c r="C106" s="179" t="e">
        <f t="shared" si="26"/>
        <v>#N/A</v>
      </c>
      <c r="E106" s="180">
        <v>2077</v>
      </c>
      <c r="F106" s="100">
        <f t="shared" si="25"/>
        <v>106</v>
      </c>
      <c r="G106" s="181">
        <f t="shared" si="27"/>
        <v>-39</v>
      </c>
      <c r="H106" s="181" t="e">
        <f t="shared" si="29"/>
        <v>#N/A</v>
      </c>
      <c r="J106" s="182">
        <v>0</v>
      </c>
      <c r="K106" s="101"/>
      <c r="L106" s="183" t="e">
        <f t="shared" si="28"/>
        <v>#N/A</v>
      </c>
      <c r="M106" s="184"/>
      <c r="N106" s="91"/>
      <c r="O106" s="91"/>
      <c r="P106" s="90">
        <v>0</v>
      </c>
      <c r="Q106" s="87">
        <v>1</v>
      </c>
      <c r="R106" s="185">
        <v>0</v>
      </c>
      <c r="S106" s="185">
        <v>0</v>
      </c>
      <c r="T106" s="185">
        <v>0</v>
      </c>
      <c r="U106" s="185">
        <v>0</v>
      </c>
      <c r="V106" s="182">
        <v>0</v>
      </c>
      <c r="W106" s="182">
        <v>0</v>
      </c>
      <c r="X106" s="182">
        <v>0</v>
      </c>
      <c r="Y106" s="182">
        <v>0</v>
      </c>
      <c r="Z106" s="182">
        <v>0</v>
      </c>
      <c r="AA106" s="182">
        <v>0</v>
      </c>
      <c r="AB106" s="182">
        <v>0</v>
      </c>
      <c r="AC106" s="182">
        <v>0</v>
      </c>
      <c r="AD106" s="182">
        <v>0</v>
      </c>
      <c r="AE106" s="182">
        <v>0</v>
      </c>
      <c r="AF106" s="182">
        <v>0</v>
      </c>
      <c r="AG106" s="182">
        <v>0</v>
      </c>
      <c r="AH106" s="182">
        <v>0</v>
      </c>
      <c r="AI106" s="182">
        <v>0</v>
      </c>
      <c r="AJ106" s="182">
        <v>0</v>
      </c>
      <c r="AL106" s="185">
        <f t="shared" si="30"/>
        <v>1</v>
      </c>
      <c r="AM106" s="185">
        <f t="shared" si="31"/>
        <v>0</v>
      </c>
      <c r="AN106" s="185">
        <f t="shared" si="32"/>
        <v>0</v>
      </c>
      <c r="AO106" s="185">
        <f t="shared" si="33"/>
        <v>0</v>
      </c>
      <c r="AP106" s="185">
        <f t="shared" si="34"/>
        <v>0</v>
      </c>
      <c r="AQ106" s="185">
        <f t="shared" si="35"/>
        <v>0</v>
      </c>
      <c r="AR106" s="185">
        <f t="shared" si="36"/>
        <v>0</v>
      </c>
      <c r="AS106" s="185">
        <f t="shared" si="37"/>
        <v>0</v>
      </c>
      <c r="AT106" s="185">
        <f t="shared" si="38"/>
        <v>0</v>
      </c>
      <c r="AU106" s="185">
        <f t="shared" si="39"/>
        <v>0</v>
      </c>
      <c r="AV106" s="185">
        <f t="shared" si="40"/>
        <v>0</v>
      </c>
      <c r="AW106" s="185">
        <f t="shared" si="41"/>
        <v>0</v>
      </c>
      <c r="AX106" s="185">
        <f t="shared" si="42"/>
        <v>0</v>
      </c>
      <c r="AY106" s="185">
        <f t="shared" si="43"/>
        <v>0</v>
      </c>
      <c r="AZ106" s="185">
        <f t="shared" si="44"/>
        <v>0</v>
      </c>
      <c r="BA106" s="185">
        <f t="shared" si="45"/>
        <v>0</v>
      </c>
      <c r="BB106" s="185">
        <f t="shared" si="46"/>
        <v>0</v>
      </c>
      <c r="BC106" s="185">
        <f t="shared" si="47"/>
        <v>0</v>
      </c>
      <c r="BD106" s="185">
        <f t="shared" si="23"/>
        <v>0</v>
      </c>
      <c r="BE106" s="185">
        <f t="shared" si="24"/>
        <v>0</v>
      </c>
    </row>
    <row r="107" spans="1:57" s="90" customFormat="1" ht="15" hidden="1" customHeight="1" x14ac:dyDescent="0.25">
      <c r="A107" s="187" t="b">
        <v>1</v>
      </c>
      <c r="B107" s="188" t="b">
        <v>1</v>
      </c>
      <c r="C107" s="179" t="e">
        <f t="shared" si="26"/>
        <v>#N/A</v>
      </c>
      <c r="E107" s="180">
        <v>2078</v>
      </c>
      <c r="F107" s="100">
        <f t="shared" si="25"/>
        <v>107</v>
      </c>
      <c r="G107" s="181">
        <f t="shared" si="27"/>
        <v>-40</v>
      </c>
      <c r="H107" s="181" t="e">
        <f t="shared" si="29"/>
        <v>#N/A</v>
      </c>
      <c r="J107" s="182">
        <v>0</v>
      </c>
      <c r="K107" s="101"/>
      <c r="L107" s="183" t="e">
        <f t="shared" si="28"/>
        <v>#N/A</v>
      </c>
      <c r="M107" s="184"/>
      <c r="N107" s="91"/>
      <c r="O107" s="91"/>
      <c r="P107" s="90">
        <v>0</v>
      </c>
      <c r="Q107" s="87">
        <v>1</v>
      </c>
      <c r="R107" s="185">
        <v>0</v>
      </c>
      <c r="S107" s="185">
        <v>0</v>
      </c>
      <c r="T107" s="185">
        <v>0</v>
      </c>
      <c r="U107" s="185">
        <v>0</v>
      </c>
      <c r="V107" s="182">
        <v>0</v>
      </c>
      <c r="W107" s="182">
        <v>0</v>
      </c>
      <c r="X107" s="182">
        <v>0</v>
      </c>
      <c r="Y107" s="182">
        <v>0</v>
      </c>
      <c r="Z107" s="182">
        <v>0</v>
      </c>
      <c r="AA107" s="182">
        <v>0</v>
      </c>
      <c r="AB107" s="182">
        <v>0</v>
      </c>
      <c r="AC107" s="182">
        <v>0</v>
      </c>
      <c r="AD107" s="182">
        <v>0</v>
      </c>
      <c r="AE107" s="182">
        <v>0</v>
      </c>
      <c r="AF107" s="182">
        <v>0</v>
      </c>
      <c r="AG107" s="182">
        <v>0</v>
      </c>
      <c r="AH107" s="182">
        <v>0</v>
      </c>
      <c r="AI107" s="182">
        <v>0</v>
      </c>
      <c r="AJ107" s="182">
        <v>0</v>
      </c>
      <c r="AL107" s="185">
        <f t="shared" si="30"/>
        <v>1</v>
      </c>
      <c r="AM107" s="185">
        <f t="shared" si="31"/>
        <v>0</v>
      </c>
      <c r="AN107" s="185">
        <f t="shared" si="32"/>
        <v>0</v>
      </c>
      <c r="AO107" s="185">
        <f t="shared" si="33"/>
        <v>0</v>
      </c>
      <c r="AP107" s="185">
        <f t="shared" si="34"/>
        <v>0</v>
      </c>
      <c r="AQ107" s="185">
        <f t="shared" si="35"/>
        <v>0</v>
      </c>
      <c r="AR107" s="185">
        <f t="shared" si="36"/>
        <v>0</v>
      </c>
      <c r="AS107" s="185">
        <f t="shared" si="37"/>
        <v>0</v>
      </c>
      <c r="AT107" s="185">
        <f t="shared" si="38"/>
        <v>0</v>
      </c>
      <c r="AU107" s="185">
        <f t="shared" si="39"/>
        <v>0</v>
      </c>
      <c r="AV107" s="185">
        <f t="shared" si="40"/>
        <v>0</v>
      </c>
      <c r="AW107" s="185">
        <f t="shared" si="41"/>
        <v>0</v>
      </c>
      <c r="AX107" s="185">
        <f t="shared" si="42"/>
        <v>0</v>
      </c>
      <c r="AY107" s="185">
        <f t="shared" si="43"/>
        <v>0</v>
      </c>
      <c r="AZ107" s="185">
        <f t="shared" si="44"/>
        <v>0</v>
      </c>
      <c r="BA107" s="185">
        <f t="shared" si="45"/>
        <v>0</v>
      </c>
      <c r="BB107" s="185">
        <f t="shared" si="46"/>
        <v>0</v>
      </c>
      <c r="BC107" s="185">
        <f t="shared" si="47"/>
        <v>0</v>
      </c>
      <c r="BD107" s="185">
        <f t="shared" si="23"/>
        <v>0</v>
      </c>
      <c r="BE107" s="185">
        <f t="shared" si="24"/>
        <v>0</v>
      </c>
    </row>
    <row r="108" spans="1:57" s="90" customFormat="1" ht="15" hidden="1" customHeight="1" x14ac:dyDescent="0.25">
      <c r="A108" s="187" t="b">
        <v>1</v>
      </c>
      <c r="B108" s="188" t="b">
        <v>1</v>
      </c>
      <c r="C108" s="179" t="e">
        <f t="shared" si="26"/>
        <v>#N/A</v>
      </c>
      <c r="E108" s="180">
        <v>2079</v>
      </c>
      <c r="F108" s="100">
        <f t="shared" si="25"/>
        <v>108</v>
      </c>
      <c r="G108" s="181">
        <f t="shared" si="27"/>
        <v>-41</v>
      </c>
      <c r="H108" s="181" t="e">
        <f t="shared" si="29"/>
        <v>#N/A</v>
      </c>
      <c r="J108" s="182">
        <v>0</v>
      </c>
      <c r="K108" s="101"/>
      <c r="L108" s="183" t="e">
        <f t="shared" si="28"/>
        <v>#N/A</v>
      </c>
      <c r="M108" s="184"/>
      <c r="N108" s="91"/>
      <c r="O108" s="91"/>
      <c r="P108" s="90">
        <v>0</v>
      </c>
      <c r="Q108" s="87">
        <v>1</v>
      </c>
      <c r="R108" s="185">
        <v>0</v>
      </c>
      <c r="S108" s="185">
        <v>0</v>
      </c>
      <c r="T108" s="185">
        <v>0</v>
      </c>
      <c r="U108" s="185">
        <v>0</v>
      </c>
      <c r="V108" s="182">
        <v>0</v>
      </c>
      <c r="W108" s="182">
        <v>0</v>
      </c>
      <c r="X108" s="182">
        <v>0</v>
      </c>
      <c r="Y108" s="182">
        <v>0</v>
      </c>
      <c r="Z108" s="182">
        <v>0</v>
      </c>
      <c r="AA108" s="182">
        <v>0</v>
      </c>
      <c r="AB108" s="182">
        <v>0</v>
      </c>
      <c r="AC108" s="182">
        <v>0</v>
      </c>
      <c r="AD108" s="182">
        <v>0</v>
      </c>
      <c r="AE108" s="182">
        <v>0</v>
      </c>
      <c r="AF108" s="182">
        <v>0</v>
      </c>
      <c r="AG108" s="182">
        <v>0</v>
      </c>
      <c r="AH108" s="182">
        <v>0</v>
      </c>
      <c r="AI108" s="182">
        <v>0</v>
      </c>
      <c r="AJ108" s="182">
        <v>0</v>
      </c>
      <c r="AL108" s="185">
        <f t="shared" si="30"/>
        <v>1</v>
      </c>
      <c r="AM108" s="185">
        <f t="shared" si="31"/>
        <v>0</v>
      </c>
      <c r="AN108" s="185">
        <f t="shared" si="32"/>
        <v>0</v>
      </c>
      <c r="AO108" s="185">
        <f t="shared" si="33"/>
        <v>0</v>
      </c>
      <c r="AP108" s="185">
        <f t="shared" si="34"/>
        <v>0</v>
      </c>
      <c r="AQ108" s="185">
        <f t="shared" si="35"/>
        <v>0</v>
      </c>
      <c r="AR108" s="185">
        <f t="shared" si="36"/>
        <v>0</v>
      </c>
      <c r="AS108" s="185">
        <f t="shared" si="37"/>
        <v>0</v>
      </c>
      <c r="AT108" s="185">
        <f t="shared" si="38"/>
        <v>0</v>
      </c>
      <c r="AU108" s="185">
        <f t="shared" si="39"/>
        <v>0</v>
      </c>
      <c r="AV108" s="185">
        <f t="shared" si="40"/>
        <v>0</v>
      </c>
      <c r="AW108" s="185">
        <f t="shared" si="41"/>
        <v>0</v>
      </c>
      <c r="AX108" s="185">
        <f t="shared" si="42"/>
        <v>0</v>
      </c>
      <c r="AY108" s="185">
        <f t="shared" si="43"/>
        <v>0</v>
      </c>
      <c r="AZ108" s="185">
        <f t="shared" si="44"/>
        <v>0</v>
      </c>
      <c r="BA108" s="185">
        <f t="shared" si="45"/>
        <v>0</v>
      </c>
      <c r="BB108" s="185">
        <f t="shared" si="46"/>
        <v>0</v>
      </c>
      <c r="BC108" s="185">
        <f t="shared" si="47"/>
        <v>0</v>
      </c>
      <c r="BD108" s="185">
        <f t="shared" si="23"/>
        <v>0</v>
      </c>
      <c r="BE108" s="185">
        <f t="shared" si="24"/>
        <v>0</v>
      </c>
    </row>
    <row r="109" spans="1:57" s="90" customFormat="1" ht="15" hidden="1" customHeight="1" x14ac:dyDescent="0.25">
      <c r="A109" s="187" t="b">
        <v>1</v>
      </c>
      <c r="B109" s="188" t="b">
        <v>1</v>
      </c>
      <c r="C109" s="179" t="e">
        <f t="shared" si="26"/>
        <v>#N/A</v>
      </c>
      <c r="E109" s="180">
        <v>2080</v>
      </c>
      <c r="F109" s="100">
        <f t="shared" si="25"/>
        <v>109</v>
      </c>
      <c r="G109" s="181">
        <f t="shared" si="27"/>
        <v>-42</v>
      </c>
      <c r="H109" s="181" t="e">
        <f t="shared" si="29"/>
        <v>#N/A</v>
      </c>
      <c r="J109" s="182">
        <v>0</v>
      </c>
      <c r="K109" s="101"/>
      <c r="L109" s="183" t="e">
        <f t="shared" si="28"/>
        <v>#N/A</v>
      </c>
      <c r="M109" s="184"/>
      <c r="N109" s="91"/>
      <c r="O109" s="91"/>
      <c r="P109" s="90">
        <v>0</v>
      </c>
      <c r="Q109" s="87">
        <v>1</v>
      </c>
      <c r="R109" s="185">
        <v>0</v>
      </c>
      <c r="S109" s="185">
        <v>0</v>
      </c>
      <c r="T109" s="185">
        <v>0</v>
      </c>
      <c r="U109" s="185">
        <v>0</v>
      </c>
      <c r="V109" s="182">
        <v>0</v>
      </c>
      <c r="W109" s="182">
        <v>0</v>
      </c>
      <c r="X109" s="182">
        <v>0</v>
      </c>
      <c r="Y109" s="182">
        <v>0</v>
      </c>
      <c r="Z109" s="182">
        <v>0</v>
      </c>
      <c r="AA109" s="182">
        <v>0</v>
      </c>
      <c r="AB109" s="182">
        <v>0</v>
      </c>
      <c r="AC109" s="182">
        <v>0</v>
      </c>
      <c r="AD109" s="182">
        <v>0</v>
      </c>
      <c r="AE109" s="182">
        <v>0</v>
      </c>
      <c r="AF109" s="182">
        <v>0</v>
      </c>
      <c r="AG109" s="182">
        <v>0</v>
      </c>
      <c r="AH109" s="182">
        <v>0</v>
      </c>
      <c r="AI109" s="182">
        <v>0</v>
      </c>
      <c r="AJ109" s="182">
        <v>0</v>
      </c>
      <c r="AL109" s="185">
        <f t="shared" si="30"/>
        <v>1</v>
      </c>
      <c r="AM109" s="185">
        <f t="shared" si="31"/>
        <v>0</v>
      </c>
      <c r="AN109" s="185">
        <f t="shared" si="32"/>
        <v>0</v>
      </c>
      <c r="AO109" s="185">
        <f t="shared" si="33"/>
        <v>0</v>
      </c>
      <c r="AP109" s="185">
        <f t="shared" si="34"/>
        <v>0</v>
      </c>
      <c r="AQ109" s="185">
        <f t="shared" si="35"/>
        <v>0</v>
      </c>
      <c r="AR109" s="185">
        <f t="shared" si="36"/>
        <v>0</v>
      </c>
      <c r="AS109" s="185">
        <f t="shared" si="37"/>
        <v>0</v>
      </c>
      <c r="AT109" s="185">
        <f t="shared" si="38"/>
        <v>0</v>
      </c>
      <c r="AU109" s="185">
        <f t="shared" si="39"/>
        <v>0</v>
      </c>
      <c r="AV109" s="185">
        <f t="shared" si="40"/>
        <v>0</v>
      </c>
      <c r="AW109" s="185">
        <f t="shared" si="41"/>
        <v>0</v>
      </c>
      <c r="AX109" s="185">
        <f t="shared" si="42"/>
        <v>0</v>
      </c>
      <c r="AY109" s="185">
        <f t="shared" si="43"/>
        <v>0</v>
      </c>
      <c r="AZ109" s="185">
        <f t="shared" si="44"/>
        <v>0</v>
      </c>
      <c r="BA109" s="185">
        <f t="shared" si="45"/>
        <v>0</v>
      </c>
      <c r="BB109" s="185">
        <f t="shared" si="46"/>
        <v>0</v>
      </c>
      <c r="BC109" s="185">
        <f t="shared" si="47"/>
        <v>0</v>
      </c>
      <c r="BD109" s="185">
        <f t="shared" si="23"/>
        <v>0</v>
      </c>
      <c r="BE109" s="185">
        <f t="shared" si="24"/>
        <v>0</v>
      </c>
    </row>
    <row r="110" spans="1:57" s="90" customFormat="1" ht="15" hidden="1" customHeight="1" x14ac:dyDescent="0.25">
      <c r="A110" s="187" t="b">
        <v>1</v>
      </c>
      <c r="B110" s="188" t="b">
        <v>1</v>
      </c>
      <c r="C110" s="179" t="e">
        <f t="shared" si="26"/>
        <v>#N/A</v>
      </c>
      <c r="E110" s="180">
        <v>2081</v>
      </c>
      <c r="F110" s="100">
        <f t="shared" si="25"/>
        <v>110</v>
      </c>
      <c r="G110" s="181">
        <f t="shared" si="27"/>
        <v>-43</v>
      </c>
      <c r="H110" s="181" t="e">
        <f t="shared" si="29"/>
        <v>#N/A</v>
      </c>
      <c r="J110" s="182">
        <v>0</v>
      </c>
      <c r="K110" s="101"/>
      <c r="L110" s="183" t="e">
        <f t="shared" si="28"/>
        <v>#N/A</v>
      </c>
      <c r="M110" s="184"/>
      <c r="N110" s="91"/>
      <c r="O110" s="91"/>
      <c r="P110" s="90">
        <v>0</v>
      </c>
      <c r="Q110" s="87">
        <v>1</v>
      </c>
      <c r="R110" s="185">
        <v>0</v>
      </c>
      <c r="S110" s="185">
        <v>0</v>
      </c>
      <c r="T110" s="185">
        <v>0</v>
      </c>
      <c r="U110" s="185">
        <v>0</v>
      </c>
      <c r="V110" s="182">
        <v>0</v>
      </c>
      <c r="W110" s="182">
        <v>0</v>
      </c>
      <c r="X110" s="182">
        <v>0</v>
      </c>
      <c r="Y110" s="182">
        <v>0</v>
      </c>
      <c r="Z110" s="182">
        <v>0</v>
      </c>
      <c r="AA110" s="182">
        <v>0</v>
      </c>
      <c r="AB110" s="182">
        <v>0</v>
      </c>
      <c r="AC110" s="182">
        <v>0</v>
      </c>
      <c r="AD110" s="182">
        <v>0</v>
      </c>
      <c r="AE110" s="182">
        <v>0</v>
      </c>
      <c r="AF110" s="182">
        <v>0</v>
      </c>
      <c r="AG110" s="182">
        <v>0</v>
      </c>
      <c r="AH110" s="182">
        <v>0</v>
      </c>
      <c r="AI110" s="182">
        <v>0</v>
      </c>
      <c r="AJ110" s="182">
        <v>0</v>
      </c>
      <c r="AL110" s="185">
        <f t="shared" si="30"/>
        <v>1</v>
      </c>
      <c r="AM110" s="185">
        <f t="shared" si="31"/>
        <v>0</v>
      </c>
      <c r="AN110" s="185">
        <f t="shared" si="32"/>
        <v>0</v>
      </c>
      <c r="AO110" s="185">
        <f t="shared" si="33"/>
        <v>0</v>
      </c>
      <c r="AP110" s="185">
        <f t="shared" si="34"/>
        <v>0</v>
      </c>
      <c r="AQ110" s="185">
        <f t="shared" si="35"/>
        <v>0</v>
      </c>
      <c r="AR110" s="185">
        <f t="shared" si="36"/>
        <v>0</v>
      </c>
      <c r="AS110" s="185">
        <f t="shared" si="37"/>
        <v>0</v>
      </c>
      <c r="AT110" s="185">
        <f t="shared" si="38"/>
        <v>0</v>
      </c>
      <c r="AU110" s="185">
        <f t="shared" si="39"/>
        <v>0</v>
      </c>
      <c r="AV110" s="185">
        <f t="shared" si="40"/>
        <v>0</v>
      </c>
      <c r="AW110" s="185">
        <f t="shared" si="41"/>
        <v>0</v>
      </c>
      <c r="AX110" s="185">
        <f t="shared" si="42"/>
        <v>0</v>
      </c>
      <c r="AY110" s="185">
        <f t="shared" si="43"/>
        <v>0</v>
      </c>
      <c r="AZ110" s="185">
        <f t="shared" si="44"/>
        <v>0</v>
      </c>
      <c r="BA110" s="185">
        <f t="shared" si="45"/>
        <v>0</v>
      </c>
      <c r="BB110" s="185">
        <f t="shared" si="46"/>
        <v>0</v>
      </c>
      <c r="BC110" s="185">
        <f t="shared" si="47"/>
        <v>0</v>
      </c>
      <c r="BD110" s="185">
        <f t="shared" si="23"/>
        <v>0</v>
      </c>
      <c r="BE110" s="185">
        <f t="shared" si="24"/>
        <v>0</v>
      </c>
    </row>
    <row r="111" spans="1:57" s="90" customFormat="1" ht="15" hidden="1" customHeight="1" x14ac:dyDescent="0.25">
      <c r="A111" s="187" t="b">
        <v>1</v>
      </c>
      <c r="B111" s="188" t="b">
        <v>1</v>
      </c>
      <c r="C111" s="179" t="e">
        <f t="shared" ref="C111:C147" si="48">INDEX(CareerWageGrowthData,MATCH(MIN(F111, MAX(CareerAge)),CareerAge,0),MATCH(CountryAbbrev,CareerCountries,0))</f>
        <v>#N/A</v>
      </c>
      <c r="E111" s="180">
        <v>2082</v>
      </c>
      <c r="F111" s="100">
        <f t="shared" si="25"/>
        <v>111</v>
      </c>
      <c r="G111" s="181">
        <f t="shared" ref="G111:G142" si="49">Pension_age-F111</f>
        <v>-44</v>
      </c>
      <c r="H111" s="181" t="e">
        <f t="shared" si="29"/>
        <v>#N/A</v>
      </c>
      <c r="J111" s="182">
        <v>0</v>
      </c>
      <c r="K111" s="101"/>
      <c r="L111" s="183" t="e">
        <f t="shared" ref="L111:L147" si="50">IF($M111="",$C111,$M111)</f>
        <v>#N/A</v>
      </c>
      <c r="M111" s="184"/>
      <c r="N111" s="91"/>
      <c r="O111" s="91"/>
      <c r="P111" s="90">
        <v>0</v>
      </c>
      <c r="Q111" s="87">
        <v>1</v>
      </c>
      <c r="R111" s="185">
        <v>0</v>
      </c>
      <c r="S111" s="185">
        <v>0</v>
      </c>
      <c r="T111" s="185">
        <v>0</v>
      </c>
      <c r="U111" s="185">
        <v>0</v>
      </c>
      <c r="V111" s="182">
        <v>0</v>
      </c>
      <c r="W111" s="182">
        <v>0</v>
      </c>
      <c r="X111" s="182">
        <v>0</v>
      </c>
      <c r="Y111" s="182">
        <v>0</v>
      </c>
      <c r="Z111" s="182">
        <v>0</v>
      </c>
      <c r="AA111" s="182">
        <v>0</v>
      </c>
      <c r="AB111" s="182">
        <v>0</v>
      </c>
      <c r="AC111" s="182">
        <v>0</v>
      </c>
      <c r="AD111" s="182">
        <v>0</v>
      </c>
      <c r="AE111" s="182">
        <v>0</v>
      </c>
      <c r="AF111" s="182">
        <v>0</v>
      </c>
      <c r="AG111" s="182">
        <v>0</v>
      </c>
      <c r="AH111" s="182">
        <v>0</v>
      </c>
      <c r="AI111" s="182">
        <v>0</v>
      </c>
      <c r="AJ111" s="182">
        <v>0</v>
      </c>
      <c r="AL111" s="185">
        <f t="shared" si="30"/>
        <v>1</v>
      </c>
      <c r="AM111" s="185">
        <f t="shared" si="31"/>
        <v>0</v>
      </c>
      <c r="AN111" s="185">
        <f t="shared" si="32"/>
        <v>0</v>
      </c>
      <c r="AO111" s="185">
        <f t="shared" si="33"/>
        <v>0</v>
      </c>
      <c r="AP111" s="185">
        <f t="shared" si="34"/>
        <v>0</v>
      </c>
      <c r="AQ111" s="185">
        <f t="shared" si="35"/>
        <v>0</v>
      </c>
      <c r="AR111" s="185">
        <f t="shared" si="36"/>
        <v>0</v>
      </c>
      <c r="AS111" s="185">
        <f t="shared" si="37"/>
        <v>0</v>
      </c>
      <c r="AT111" s="185">
        <f t="shared" si="38"/>
        <v>0</v>
      </c>
      <c r="AU111" s="185">
        <f t="shared" si="39"/>
        <v>0</v>
      </c>
      <c r="AV111" s="185">
        <f t="shared" si="40"/>
        <v>0</v>
      </c>
      <c r="AW111" s="185">
        <f t="shared" si="41"/>
        <v>0</v>
      </c>
      <c r="AX111" s="185">
        <f t="shared" si="42"/>
        <v>0</v>
      </c>
      <c r="AY111" s="185">
        <f t="shared" si="43"/>
        <v>0</v>
      </c>
      <c r="AZ111" s="185">
        <f t="shared" si="44"/>
        <v>0</v>
      </c>
      <c r="BA111" s="185">
        <f t="shared" si="45"/>
        <v>0</v>
      </c>
      <c r="BB111" s="185">
        <f t="shared" si="46"/>
        <v>0</v>
      </c>
      <c r="BC111" s="185">
        <f t="shared" si="47"/>
        <v>0</v>
      </c>
      <c r="BD111" s="185">
        <f t="shared" si="23"/>
        <v>0</v>
      </c>
      <c r="BE111" s="185">
        <f t="shared" si="24"/>
        <v>0</v>
      </c>
    </row>
    <row r="112" spans="1:57" s="90" customFormat="1" ht="15" hidden="1" customHeight="1" x14ac:dyDescent="0.25">
      <c r="A112" s="187" t="b">
        <v>1</v>
      </c>
      <c r="B112" s="188" t="b">
        <v>1</v>
      </c>
      <c r="C112" s="179" t="e">
        <f t="shared" si="48"/>
        <v>#N/A</v>
      </c>
      <c r="E112" s="180">
        <v>2083</v>
      </c>
      <c r="F112" s="100">
        <f t="shared" si="25"/>
        <v>112</v>
      </c>
      <c r="G112" s="181">
        <f t="shared" si="49"/>
        <v>-45</v>
      </c>
      <c r="H112" s="181" t="e">
        <f t="shared" ref="H112:H147" si="51">H111*(1+L112)*(1+Projection_real_wage_growth)</f>
        <v>#N/A</v>
      </c>
      <c r="J112" s="182">
        <v>0</v>
      </c>
      <c r="K112" s="101"/>
      <c r="L112" s="183" t="e">
        <f t="shared" si="50"/>
        <v>#N/A</v>
      </c>
      <c r="M112" s="184"/>
      <c r="N112" s="91"/>
      <c r="O112" s="91"/>
      <c r="P112" s="90">
        <v>0</v>
      </c>
      <c r="Q112" s="87">
        <v>1</v>
      </c>
      <c r="R112" s="185">
        <v>0</v>
      </c>
      <c r="S112" s="185">
        <v>0</v>
      </c>
      <c r="T112" s="185">
        <v>0</v>
      </c>
      <c r="U112" s="185">
        <v>0</v>
      </c>
      <c r="V112" s="182">
        <v>0</v>
      </c>
      <c r="W112" s="182">
        <v>0</v>
      </c>
      <c r="X112" s="182">
        <v>0</v>
      </c>
      <c r="Y112" s="182">
        <v>0</v>
      </c>
      <c r="Z112" s="182">
        <v>0</v>
      </c>
      <c r="AA112" s="182">
        <v>0</v>
      </c>
      <c r="AB112" s="182">
        <v>0</v>
      </c>
      <c r="AC112" s="182">
        <v>0</v>
      </c>
      <c r="AD112" s="182">
        <v>0</v>
      </c>
      <c r="AE112" s="182">
        <v>0</v>
      </c>
      <c r="AF112" s="182">
        <v>0</v>
      </c>
      <c r="AG112" s="182">
        <v>0</v>
      </c>
      <c r="AH112" s="182">
        <v>0</v>
      </c>
      <c r="AI112" s="182">
        <v>0</v>
      </c>
      <c r="AJ112" s="182">
        <v>0</v>
      </c>
      <c r="AL112" s="185">
        <f t="shared" ref="AL112:AL147" si="52">Q112</f>
        <v>1</v>
      </c>
      <c r="AM112" s="185">
        <f t="shared" ref="AM112:AM147" si="53">R112</f>
        <v>0</v>
      </c>
      <c r="AN112" s="185">
        <f t="shared" ref="AN112:AN147" si="54">S112</f>
        <v>0</v>
      </c>
      <c r="AO112" s="185">
        <f t="shared" ref="AO112:AO147" si="55">T112</f>
        <v>0</v>
      </c>
      <c r="AP112" s="185">
        <f t="shared" ref="AP112:AP147" si="56">U112</f>
        <v>0</v>
      </c>
      <c r="AQ112" s="185">
        <f t="shared" ref="AQ112:AQ147" si="57">V112</f>
        <v>0</v>
      </c>
      <c r="AR112" s="185">
        <f t="shared" ref="AR112:AR147" si="58">W112</f>
        <v>0</v>
      </c>
      <c r="AS112" s="185">
        <f t="shared" ref="AS112:AS147" si="59">X112</f>
        <v>0</v>
      </c>
      <c r="AT112" s="185">
        <f t="shared" ref="AT112:AT147" si="60">Y112</f>
        <v>0</v>
      </c>
      <c r="AU112" s="185">
        <f t="shared" ref="AU112:AU147" si="61">Z112</f>
        <v>0</v>
      </c>
      <c r="AV112" s="185">
        <f t="shared" ref="AV112:AV147" si="62">AA112</f>
        <v>0</v>
      </c>
      <c r="AW112" s="185">
        <f t="shared" ref="AW112:AW147" si="63">AB112</f>
        <v>0</v>
      </c>
      <c r="AX112" s="185">
        <f t="shared" ref="AX112:AX147" si="64">AC112</f>
        <v>0</v>
      </c>
      <c r="AY112" s="185">
        <f t="shared" ref="AY112:AY147" si="65">AD112</f>
        <v>0</v>
      </c>
      <c r="AZ112" s="185">
        <f t="shared" ref="AZ112:AZ147" si="66">AE112</f>
        <v>0</v>
      </c>
      <c r="BA112" s="185">
        <f t="shared" ref="BA112:BA147" si="67">AF112</f>
        <v>0</v>
      </c>
      <c r="BB112" s="185">
        <f t="shared" ref="BB112:BB147" si="68">AG112</f>
        <v>0</v>
      </c>
      <c r="BC112" s="185">
        <f t="shared" ref="BC112:BC147" si="69">AH112</f>
        <v>0</v>
      </c>
      <c r="BD112" s="185">
        <f t="shared" ref="BD112:BD147" si="70">AI112</f>
        <v>0</v>
      </c>
      <c r="BE112" s="185">
        <f t="shared" ref="BE112:BE147" si="71">AJ112</f>
        <v>0</v>
      </c>
    </row>
    <row r="113" spans="1:57" s="90" customFormat="1" ht="15" hidden="1" customHeight="1" x14ac:dyDescent="0.25">
      <c r="A113" s="187" t="b">
        <v>1</v>
      </c>
      <c r="B113" s="188" t="b">
        <v>1</v>
      </c>
      <c r="C113" s="179" t="e">
        <f t="shared" si="48"/>
        <v>#N/A</v>
      </c>
      <c r="E113" s="180">
        <v>2084</v>
      </c>
      <c r="F113" s="100">
        <f t="shared" ref="F113:F147" si="72">F112+1</f>
        <v>113</v>
      </c>
      <c r="G113" s="181">
        <f t="shared" si="49"/>
        <v>-46</v>
      </c>
      <c r="H113" s="181" t="e">
        <f t="shared" si="51"/>
        <v>#N/A</v>
      </c>
      <c r="J113" s="182">
        <v>0</v>
      </c>
      <c r="K113" s="101"/>
      <c r="L113" s="183" t="e">
        <f t="shared" si="50"/>
        <v>#N/A</v>
      </c>
      <c r="M113" s="184"/>
      <c r="N113" s="91"/>
      <c r="O113" s="91"/>
      <c r="P113" s="90">
        <v>0</v>
      </c>
      <c r="Q113" s="87">
        <v>1</v>
      </c>
      <c r="R113" s="185">
        <v>0</v>
      </c>
      <c r="S113" s="185">
        <v>0</v>
      </c>
      <c r="T113" s="185">
        <v>0</v>
      </c>
      <c r="U113" s="185">
        <v>0</v>
      </c>
      <c r="V113" s="182">
        <v>0</v>
      </c>
      <c r="W113" s="182">
        <v>0</v>
      </c>
      <c r="X113" s="182">
        <v>0</v>
      </c>
      <c r="Y113" s="182">
        <v>0</v>
      </c>
      <c r="Z113" s="182">
        <v>0</v>
      </c>
      <c r="AA113" s="182">
        <v>0</v>
      </c>
      <c r="AB113" s="182">
        <v>0</v>
      </c>
      <c r="AC113" s="182">
        <v>0</v>
      </c>
      <c r="AD113" s="182">
        <v>0</v>
      </c>
      <c r="AE113" s="182">
        <v>0</v>
      </c>
      <c r="AF113" s="182">
        <v>0</v>
      </c>
      <c r="AG113" s="182">
        <v>0</v>
      </c>
      <c r="AH113" s="182">
        <v>0</v>
      </c>
      <c r="AI113" s="182">
        <v>0</v>
      </c>
      <c r="AJ113" s="182">
        <v>0</v>
      </c>
      <c r="AL113" s="185">
        <f t="shared" si="52"/>
        <v>1</v>
      </c>
      <c r="AM113" s="185">
        <f t="shared" si="53"/>
        <v>0</v>
      </c>
      <c r="AN113" s="185">
        <f t="shared" si="54"/>
        <v>0</v>
      </c>
      <c r="AO113" s="185">
        <f t="shared" si="55"/>
        <v>0</v>
      </c>
      <c r="AP113" s="185">
        <f t="shared" si="56"/>
        <v>0</v>
      </c>
      <c r="AQ113" s="185">
        <f t="shared" si="57"/>
        <v>0</v>
      </c>
      <c r="AR113" s="185">
        <f t="shared" si="58"/>
        <v>0</v>
      </c>
      <c r="AS113" s="185">
        <f t="shared" si="59"/>
        <v>0</v>
      </c>
      <c r="AT113" s="185">
        <f t="shared" si="60"/>
        <v>0</v>
      </c>
      <c r="AU113" s="185">
        <f t="shared" si="61"/>
        <v>0</v>
      </c>
      <c r="AV113" s="185">
        <f t="shared" si="62"/>
        <v>0</v>
      </c>
      <c r="AW113" s="185">
        <f t="shared" si="63"/>
        <v>0</v>
      </c>
      <c r="AX113" s="185">
        <f t="shared" si="64"/>
        <v>0</v>
      </c>
      <c r="AY113" s="185">
        <f t="shared" si="65"/>
        <v>0</v>
      </c>
      <c r="AZ113" s="185">
        <f t="shared" si="66"/>
        <v>0</v>
      </c>
      <c r="BA113" s="185">
        <f t="shared" si="67"/>
        <v>0</v>
      </c>
      <c r="BB113" s="185">
        <f t="shared" si="68"/>
        <v>0</v>
      </c>
      <c r="BC113" s="185">
        <f t="shared" si="69"/>
        <v>0</v>
      </c>
      <c r="BD113" s="185">
        <f t="shared" si="70"/>
        <v>0</v>
      </c>
      <c r="BE113" s="185">
        <f t="shared" si="71"/>
        <v>0</v>
      </c>
    </row>
    <row r="114" spans="1:57" s="90" customFormat="1" ht="15" hidden="1" customHeight="1" x14ac:dyDescent="0.25">
      <c r="A114" s="187" t="b">
        <v>1</v>
      </c>
      <c r="B114" s="188" t="b">
        <v>1</v>
      </c>
      <c r="C114" s="179" t="e">
        <f t="shared" si="48"/>
        <v>#N/A</v>
      </c>
      <c r="E114" s="180">
        <v>2085</v>
      </c>
      <c r="F114" s="100">
        <f t="shared" si="72"/>
        <v>114</v>
      </c>
      <c r="G114" s="181">
        <f t="shared" si="49"/>
        <v>-47</v>
      </c>
      <c r="H114" s="181" t="e">
        <f t="shared" si="51"/>
        <v>#N/A</v>
      </c>
      <c r="J114" s="182">
        <v>0</v>
      </c>
      <c r="K114" s="101"/>
      <c r="L114" s="183" t="e">
        <f t="shared" si="50"/>
        <v>#N/A</v>
      </c>
      <c r="M114" s="184"/>
      <c r="N114" s="91"/>
      <c r="O114" s="91"/>
      <c r="P114" s="90">
        <v>0</v>
      </c>
      <c r="Q114" s="87">
        <v>1</v>
      </c>
      <c r="R114" s="185">
        <v>0</v>
      </c>
      <c r="S114" s="185">
        <v>0</v>
      </c>
      <c r="T114" s="185">
        <v>0</v>
      </c>
      <c r="U114" s="185">
        <v>0</v>
      </c>
      <c r="V114" s="182">
        <v>0</v>
      </c>
      <c r="W114" s="182">
        <v>0</v>
      </c>
      <c r="X114" s="182">
        <v>0</v>
      </c>
      <c r="Y114" s="182">
        <v>0</v>
      </c>
      <c r="Z114" s="182">
        <v>0</v>
      </c>
      <c r="AA114" s="182">
        <v>0</v>
      </c>
      <c r="AB114" s="182">
        <v>0</v>
      </c>
      <c r="AC114" s="182">
        <v>0</v>
      </c>
      <c r="AD114" s="182">
        <v>0</v>
      </c>
      <c r="AE114" s="182">
        <v>0</v>
      </c>
      <c r="AF114" s="182">
        <v>0</v>
      </c>
      <c r="AG114" s="182">
        <v>0</v>
      </c>
      <c r="AH114" s="182">
        <v>0</v>
      </c>
      <c r="AI114" s="182">
        <v>0</v>
      </c>
      <c r="AJ114" s="182">
        <v>0</v>
      </c>
      <c r="AL114" s="185">
        <f t="shared" si="52"/>
        <v>1</v>
      </c>
      <c r="AM114" s="185">
        <f t="shared" si="53"/>
        <v>0</v>
      </c>
      <c r="AN114" s="185">
        <f t="shared" si="54"/>
        <v>0</v>
      </c>
      <c r="AO114" s="185">
        <f t="shared" si="55"/>
        <v>0</v>
      </c>
      <c r="AP114" s="185">
        <f t="shared" si="56"/>
        <v>0</v>
      </c>
      <c r="AQ114" s="185">
        <f t="shared" si="57"/>
        <v>0</v>
      </c>
      <c r="AR114" s="185">
        <f t="shared" si="58"/>
        <v>0</v>
      </c>
      <c r="AS114" s="185">
        <f t="shared" si="59"/>
        <v>0</v>
      </c>
      <c r="AT114" s="185">
        <f t="shared" si="60"/>
        <v>0</v>
      </c>
      <c r="AU114" s="185">
        <f t="shared" si="61"/>
        <v>0</v>
      </c>
      <c r="AV114" s="185">
        <f t="shared" si="62"/>
        <v>0</v>
      </c>
      <c r="AW114" s="185">
        <f t="shared" si="63"/>
        <v>0</v>
      </c>
      <c r="AX114" s="185">
        <f t="shared" si="64"/>
        <v>0</v>
      </c>
      <c r="AY114" s="185">
        <f t="shared" si="65"/>
        <v>0</v>
      </c>
      <c r="AZ114" s="185">
        <f t="shared" si="66"/>
        <v>0</v>
      </c>
      <c r="BA114" s="185">
        <f t="shared" si="67"/>
        <v>0</v>
      </c>
      <c r="BB114" s="185">
        <f t="shared" si="68"/>
        <v>0</v>
      </c>
      <c r="BC114" s="185">
        <f t="shared" si="69"/>
        <v>0</v>
      </c>
      <c r="BD114" s="185">
        <f t="shared" si="70"/>
        <v>0</v>
      </c>
      <c r="BE114" s="185">
        <f t="shared" si="71"/>
        <v>0</v>
      </c>
    </row>
    <row r="115" spans="1:57" s="90" customFormat="1" ht="15" hidden="1" customHeight="1" x14ac:dyDescent="0.25">
      <c r="A115" s="187" t="b">
        <v>1</v>
      </c>
      <c r="B115" s="188" t="b">
        <v>1</v>
      </c>
      <c r="C115" s="179" t="e">
        <f t="shared" si="48"/>
        <v>#N/A</v>
      </c>
      <c r="E115" s="180">
        <v>2086</v>
      </c>
      <c r="F115" s="100">
        <f t="shared" si="72"/>
        <v>115</v>
      </c>
      <c r="G115" s="181">
        <f t="shared" si="49"/>
        <v>-48</v>
      </c>
      <c r="H115" s="181" t="e">
        <f t="shared" si="51"/>
        <v>#N/A</v>
      </c>
      <c r="J115" s="182">
        <v>0</v>
      </c>
      <c r="K115" s="101"/>
      <c r="L115" s="183" t="e">
        <f t="shared" si="50"/>
        <v>#N/A</v>
      </c>
      <c r="M115" s="184"/>
      <c r="N115" s="91"/>
      <c r="O115" s="91"/>
      <c r="P115" s="90">
        <v>0</v>
      </c>
      <c r="Q115" s="87">
        <v>1</v>
      </c>
      <c r="R115" s="185">
        <v>0</v>
      </c>
      <c r="S115" s="185">
        <v>0</v>
      </c>
      <c r="T115" s="185">
        <v>0</v>
      </c>
      <c r="U115" s="185">
        <v>0</v>
      </c>
      <c r="V115" s="182">
        <v>0</v>
      </c>
      <c r="W115" s="182">
        <v>0</v>
      </c>
      <c r="X115" s="182">
        <v>0</v>
      </c>
      <c r="Y115" s="182">
        <v>0</v>
      </c>
      <c r="Z115" s="182">
        <v>0</v>
      </c>
      <c r="AA115" s="182">
        <v>0</v>
      </c>
      <c r="AB115" s="182">
        <v>0</v>
      </c>
      <c r="AC115" s="182">
        <v>0</v>
      </c>
      <c r="AD115" s="182">
        <v>0</v>
      </c>
      <c r="AE115" s="182">
        <v>0</v>
      </c>
      <c r="AF115" s="182">
        <v>0</v>
      </c>
      <c r="AG115" s="182">
        <v>0</v>
      </c>
      <c r="AH115" s="182">
        <v>0</v>
      </c>
      <c r="AI115" s="182">
        <v>0</v>
      </c>
      <c r="AJ115" s="182">
        <v>0</v>
      </c>
      <c r="AL115" s="185">
        <f t="shared" si="52"/>
        <v>1</v>
      </c>
      <c r="AM115" s="185">
        <f t="shared" si="53"/>
        <v>0</v>
      </c>
      <c r="AN115" s="185">
        <f t="shared" si="54"/>
        <v>0</v>
      </c>
      <c r="AO115" s="185">
        <f t="shared" si="55"/>
        <v>0</v>
      </c>
      <c r="AP115" s="185">
        <f t="shared" si="56"/>
        <v>0</v>
      </c>
      <c r="AQ115" s="185">
        <f t="shared" si="57"/>
        <v>0</v>
      </c>
      <c r="AR115" s="185">
        <f t="shared" si="58"/>
        <v>0</v>
      </c>
      <c r="AS115" s="185">
        <f t="shared" si="59"/>
        <v>0</v>
      </c>
      <c r="AT115" s="185">
        <f t="shared" si="60"/>
        <v>0</v>
      </c>
      <c r="AU115" s="185">
        <f t="shared" si="61"/>
        <v>0</v>
      </c>
      <c r="AV115" s="185">
        <f t="shared" si="62"/>
        <v>0</v>
      </c>
      <c r="AW115" s="185">
        <f t="shared" si="63"/>
        <v>0</v>
      </c>
      <c r="AX115" s="185">
        <f t="shared" si="64"/>
        <v>0</v>
      </c>
      <c r="AY115" s="185">
        <f t="shared" si="65"/>
        <v>0</v>
      </c>
      <c r="AZ115" s="185">
        <f t="shared" si="66"/>
        <v>0</v>
      </c>
      <c r="BA115" s="185">
        <f t="shared" si="67"/>
        <v>0</v>
      </c>
      <c r="BB115" s="185">
        <f t="shared" si="68"/>
        <v>0</v>
      </c>
      <c r="BC115" s="185">
        <f t="shared" si="69"/>
        <v>0</v>
      </c>
      <c r="BD115" s="185">
        <f t="shared" si="70"/>
        <v>0</v>
      </c>
      <c r="BE115" s="185">
        <f t="shared" si="71"/>
        <v>0</v>
      </c>
    </row>
    <row r="116" spans="1:57" s="90" customFormat="1" ht="15" hidden="1" customHeight="1" x14ac:dyDescent="0.25">
      <c r="A116" s="187" t="b">
        <v>1</v>
      </c>
      <c r="B116" s="188" t="b">
        <v>1</v>
      </c>
      <c r="C116" s="179" t="e">
        <f t="shared" si="48"/>
        <v>#N/A</v>
      </c>
      <c r="E116" s="180">
        <v>2087</v>
      </c>
      <c r="F116" s="100">
        <f t="shared" si="72"/>
        <v>116</v>
      </c>
      <c r="G116" s="181">
        <f t="shared" si="49"/>
        <v>-49</v>
      </c>
      <c r="H116" s="181" t="e">
        <f t="shared" si="51"/>
        <v>#N/A</v>
      </c>
      <c r="J116" s="182">
        <v>0</v>
      </c>
      <c r="K116" s="101"/>
      <c r="L116" s="183" t="e">
        <f t="shared" si="50"/>
        <v>#N/A</v>
      </c>
      <c r="M116" s="184"/>
      <c r="N116" s="91"/>
      <c r="O116" s="91"/>
      <c r="P116" s="90">
        <v>0</v>
      </c>
      <c r="Q116" s="87">
        <v>1</v>
      </c>
      <c r="R116" s="185">
        <v>0</v>
      </c>
      <c r="S116" s="185">
        <v>0</v>
      </c>
      <c r="T116" s="185">
        <v>0</v>
      </c>
      <c r="U116" s="185">
        <v>0</v>
      </c>
      <c r="V116" s="182">
        <v>0</v>
      </c>
      <c r="W116" s="182">
        <v>0</v>
      </c>
      <c r="X116" s="182">
        <v>0</v>
      </c>
      <c r="Y116" s="182">
        <v>0</v>
      </c>
      <c r="Z116" s="182">
        <v>0</v>
      </c>
      <c r="AA116" s="182">
        <v>0</v>
      </c>
      <c r="AB116" s="182">
        <v>0</v>
      </c>
      <c r="AC116" s="182">
        <v>0</v>
      </c>
      <c r="AD116" s="182">
        <v>0</v>
      </c>
      <c r="AE116" s="182">
        <v>0</v>
      </c>
      <c r="AF116" s="182">
        <v>0</v>
      </c>
      <c r="AG116" s="182">
        <v>0</v>
      </c>
      <c r="AH116" s="182">
        <v>0</v>
      </c>
      <c r="AI116" s="182">
        <v>0</v>
      </c>
      <c r="AJ116" s="182">
        <v>0</v>
      </c>
      <c r="AL116" s="185">
        <f t="shared" si="52"/>
        <v>1</v>
      </c>
      <c r="AM116" s="185">
        <f t="shared" si="53"/>
        <v>0</v>
      </c>
      <c r="AN116" s="185">
        <f t="shared" si="54"/>
        <v>0</v>
      </c>
      <c r="AO116" s="185">
        <f t="shared" si="55"/>
        <v>0</v>
      </c>
      <c r="AP116" s="185">
        <f t="shared" si="56"/>
        <v>0</v>
      </c>
      <c r="AQ116" s="185">
        <f t="shared" si="57"/>
        <v>0</v>
      </c>
      <c r="AR116" s="185">
        <f t="shared" si="58"/>
        <v>0</v>
      </c>
      <c r="AS116" s="185">
        <f t="shared" si="59"/>
        <v>0</v>
      </c>
      <c r="AT116" s="185">
        <f t="shared" si="60"/>
        <v>0</v>
      </c>
      <c r="AU116" s="185">
        <f t="shared" si="61"/>
        <v>0</v>
      </c>
      <c r="AV116" s="185">
        <f t="shared" si="62"/>
        <v>0</v>
      </c>
      <c r="AW116" s="185">
        <f t="shared" si="63"/>
        <v>0</v>
      </c>
      <c r="AX116" s="185">
        <f t="shared" si="64"/>
        <v>0</v>
      </c>
      <c r="AY116" s="185">
        <f t="shared" si="65"/>
        <v>0</v>
      </c>
      <c r="AZ116" s="185">
        <f t="shared" si="66"/>
        <v>0</v>
      </c>
      <c r="BA116" s="185">
        <f t="shared" si="67"/>
        <v>0</v>
      </c>
      <c r="BB116" s="185">
        <f t="shared" si="68"/>
        <v>0</v>
      </c>
      <c r="BC116" s="185">
        <f t="shared" si="69"/>
        <v>0</v>
      </c>
      <c r="BD116" s="185">
        <f t="shared" si="70"/>
        <v>0</v>
      </c>
      <c r="BE116" s="185">
        <f t="shared" si="71"/>
        <v>0</v>
      </c>
    </row>
    <row r="117" spans="1:57" s="90" customFormat="1" ht="15" hidden="1" customHeight="1" x14ac:dyDescent="0.25">
      <c r="A117" s="187" t="b">
        <v>1</v>
      </c>
      <c r="B117" s="188" t="b">
        <v>1</v>
      </c>
      <c r="C117" s="179" t="e">
        <f t="shared" si="48"/>
        <v>#N/A</v>
      </c>
      <c r="E117" s="180">
        <v>2088</v>
      </c>
      <c r="F117" s="100">
        <f t="shared" si="72"/>
        <v>117</v>
      </c>
      <c r="G117" s="181">
        <f t="shared" si="49"/>
        <v>-50</v>
      </c>
      <c r="H117" s="181" t="e">
        <f t="shared" si="51"/>
        <v>#N/A</v>
      </c>
      <c r="J117" s="182">
        <v>0</v>
      </c>
      <c r="K117" s="101"/>
      <c r="L117" s="183" t="e">
        <f t="shared" si="50"/>
        <v>#N/A</v>
      </c>
      <c r="M117" s="184"/>
      <c r="N117" s="91"/>
      <c r="O117" s="91"/>
      <c r="P117" s="90">
        <v>0</v>
      </c>
      <c r="Q117" s="87">
        <v>1</v>
      </c>
      <c r="R117" s="185">
        <v>0</v>
      </c>
      <c r="S117" s="185">
        <v>0</v>
      </c>
      <c r="T117" s="185">
        <v>0</v>
      </c>
      <c r="U117" s="185">
        <v>0</v>
      </c>
      <c r="V117" s="182">
        <v>0</v>
      </c>
      <c r="W117" s="182">
        <v>0</v>
      </c>
      <c r="X117" s="182">
        <v>0</v>
      </c>
      <c r="Y117" s="182">
        <v>0</v>
      </c>
      <c r="Z117" s="182">
        <v>0</v>
      </c>
      <c r="AA117" s="182">
        <v>0</v>
      </c>
      <c r="AB117" s="182">
        <v>0</v>
      </c>
      <c r="AC117" s="182">
        <v>0</v>
      </c>
      <c r="AD117" s="182">
        <v>0</v>
      </c>
      <c r="AE117" s="182">
        <v>0</v>
      </c>
      <c r="AF117" s="182">
        <v>0</v>
      </c>
      <c r="AG117" s="182">
        <v>0</v>
      </c>
      <c r="AH117" s="182">
        <v>0</v>
      </c>
      <c r="AI117" s="182">
        <v>0</v>
      </c>
      <c r="AJ117" s="182">
        <v>0</v>
      </c>
      <c r="AL117" s="185">
        <f t="shared" si="52"/>
        <v>1</v>
      </c>
      <c r="AM117" s="185">
        <f t="shared" si="53"/>
        <v>0</v>
      </c>
      <c r="AN117" s="185">
        <f t="shared" si="54"/>
        <v>0</v>
      </c>
      <c r="AO117" s="185">
        <f t="shared" si="55"/>
        <v>0</v>
      </c>
      <c r="AP117" s="185">
        <f t="shared" si="56"/>
        <v>0</v>
      </c>
      <c r="AQ117" s="185">
        <f t="shared" si="57"/>
        <v>0</v>
      </c>
      <c r="AR117" s="185">
        <f t="shared" si="58"/>
        <v>0</v>
      </c>
      <c r="AS117" s="185">
        <f t="shared" si="59"/>
        <v>0</v>
      </c>
      <c r="AT117" s="185">
        <f t="shared" si="60"/>
        <v>0</v>
      </c>
      <c r="AU117" s="185">
        <f t="shared" si="61"/>
        <v>0</v>
      </c>
      <c r="AV117" s="185">
        <f t="shared" si="62"/>
        <v>0</v>
      </c>
      <c r="AW117" s="185">
        <f t="shared" si="63"/>
        <v>0</v>
      </c>
      <c r="AX117" s="185">
        <f t="shared" si="64"/>
        <v>0</v>
      </c>
      <c r="AY117" s="185">
        <f t="shared" si="65"/>
        <v>0</v>
      </c>
      <c r="AZ117" s="185">
        <f t="shared" si="66"/>
        <v>0</v>
      </c>
      <c r="BA117" s="185">
        <f t="shared" si="67"/>
        <v>0</v>
      </c>
      <c r="BB117" s="185">
        <f t="shared" si="68"/>
        <v>0</v>
      </c>
      <c r="BC117" s="185">
        <f t="shared" si="69"/>
        <v>0</v>
      </c>
      <c r="BD117" s="185">
        <f t="shared" si="70"/>
        <v>0</v>
      </c>
      <c r="BE117" s="185">
        <f t="shared" si="71"/>
        <v>0</v>
      </c>
    </row>
    <row r="118" spans="1:57" s="90" customFormat="1" ht="15" hidden="1" customHeight="1" x14ac:dyDescent="0.25">
      <c r="A118" s="187" t="b">
        <v>1</v>
      </c>
      <c r="B118" s="188" t="b">
        <v>1</v>
      </c>
      <c r="C118" s="179" t="e">
        <f t="shared" si="48"/>
        <v>#N/A</v>
      </c>
      <c r="E118" s="180">
        <v>2089</v>
      </c>
      <c r="F118" s="100">
        <f t="shared" si="72"/>
        <v>118</v>
      </c>
      <c r="G118" s="181">
        <f t="shared" si="49"/>
        <v>-51</v>
      </c>
      <c r="H118" s="181" t="e">
        <f t="shared" si="51"/>
        <v>#N/A</v>
      </c>
      <c r="J118" s="182">
        <v>0</v>
      </c>
      <c r="K118" s="101"/>
      <c r="L118" s="183" t="e">
        <f t="shared" si="50"/>
        <v>#N/A</v>
      </c>
      <c r="M118" s="184"/>
      <c r="N118" s="91"/>
      <c r="O118" s="91"/>
      <c r="P118" s="90">
        <v>0</v>
      </c>
      <c r="Q118" s="87">
        <v>1</v>
      </c>
      <c r="R118" s="185">
        <v>0</v>
      </c>
      <c r="S118" s="185">
        <v>0</v>
      </c>
      <c r="T118" s="185">
        <v>0</v>
      </c>
      <c r="U118" s="185">
        <v>0</v>
      </c>
      <c r="V118" s="182">
        <v>0</v>
      </c>
      <c r="W118" s="182">
        <v>0</v>
      </c>
      <c r="X118" s="182">
        <v>0</v>
      </c>
      <c r="Y118" s="182">
        <v>0</v>
      </c>
      <c r="Z118" s="182">
        <v>0</v>
      </c>
      <c r="AA118" s="182">
        <v>0</v>
      </c>
      <c r="AB118" s="182">
        <v>0</v>
      </c>
      <c r="AC118" s="182">
        <v>0</v>
      </c>
      <c r="AD118" s="182">
        <v>0</v>
      </c>
      <c r="AE118" s="182">
        <v>0</v>
      </c>
      <c r="AF118" s="182">
        <v>0</v>
      </c>
      <c r="AG118" s="182">
        <v>0</v>
      </c>
      <c r="AH118" s="182">
        <v>0</v>
      </c>
      <c r="AI118" s="182">
        <v>0</v>
      </c>
      <c r="AJ118" s="182">
        <v>0</v>
      </c>
      <c r="AL118" s="185">
        <f t="shared" si="52"/>
        <v>1</v>
      </c>
      <c r="AM118" s="185">
        <f t="shared" si="53"/>
        <v>0</v>
      </c>
      <c r="AN118" s="185">
        <f t="shared" si="54"/>
        <v>0</v>
      </c>
      <c r="AO118" s="185">
        <f t="shared" si="55"/>
        <v>0</v>
      </c>
      <c r="AP118" s="185">
        <f t="shared" si="56"/>
        <v>0</v>
      </c>
      <c r="AQ118" s="185">
        <f t="shared" si="57"/>
        <v>0</v>
      </c>
      <c r="AR118" s="185">
        <f t="shared" si="58"/>
        <v>0</v>
      </c>
      <c r="AS118" s="185">
        <f t="shared" si="59"/>
        <v>0</v>
      </c>
      <c r="AT118" s="185">
        <f t="shared" si="60"/>
        <v>0</v>
      </c>
      <c r="AU118" s="185">
        <f t="shared" si="61"/>
        <v>0</v>
      </c>
      <c r="AV118" s="185">
        <f t="shared" si="62"/>
        <v>0</v>
      </c>
      <c r="AW118" s="185">
        <f t="shared" si="63"/>
        <v>0</v>
      </c>
      <c r="AX118" s="185">
        <f t="shared" si="64"/>
        <v>0</v>
      </c>
      <c r="AY118" s="185">
        <f t="shared" si="65"/>
        <v>0</v>
      </c>
      <c r="AZ118" s="185">
        <f t="shared" si="66"/>
        <v>0</v>
      </c>
      <c r="BA118" s="185">
        <f t="shared" si="67"/>
        <v>0</v>
      </c>
      <c r="BB118" s="185">
        <f t="shared" si="68"/>
        <v>0</v>
      </c>
      <c r="BC118" s="185">
        <f t="shared" si="69"/>
        <v>0</v>
      </c>
      <c r="BD118" s="185">
        <f t="shared" si="70"/>
        <v>0</v>
      </c>
      <c r="BE118" s="185">
        <f t="shared" si="71"/>
        <v>0</v>
      </c>
    </row>
    <row r="119" spans="1:57" s="90" customFormat="1" ht="15" hidden="1" customHeight="1" x14ac:dyDescent="0.25">
      <c r="A119" s="187" t="b">
        <v>1</v>
      </c>
      <c r="B119" s="188" t="b">
        <v>1</v>
      </c>
      <c r="C119" s="179" t="e">
        <f t="shared" si="48"/>
        <v>#N/A</v>
      </c>
      <c r="E119" s="180">
        <v>2090</v>
      </c>
      <c r="F119" s="100">
        <f t="shared" si="72"/>
        <v>119</v>
      </c>
      <c r="G119" s="181">
        <f t="shared" si="49"/>
        <v>-52</v>
      </c>
      <c r="H119" s="181" t="e">
        <f t="shared" si="51"/>
        <v>#N/A</v>
      </c>
      <c r="J119" s="182">
        <v>0</v>
      </c>
      <c r="K119" s="101"/>
      <c r="L119" s="183" t="e">
        <f t="shared" si="50"/>
        <v>#N/A</v>
      </c>
      <c r="M119" s="184"/>
      <c r="N119" s="91"/>
      <c r="O119" s="91"/>
      <c r="P119" s="90">
        <v>0</v>
      </c>
      <c r="Q119" s="87">
        <v>1</v>
      </c>
      <c r="R119" s="185">
        <v>0</v>
      </c>
      <c r="S119" s="185">
        <v>0</v>
      </c>
      <c r="T119" s="185">
        <v>0</v>
      </c>
      <c r="U119" s="185">
        <v>0</v>
      </c>
      <c r="V119" s="182">
        <v>0</v>
      </c>
      <c r="W119" s="182">
        <v>0</v>
      </c>
      <c r="X119" s="182">
        <v>0</v>
      </c>
      <c r="Y119" s="182">
        <v>0</v>
      </c>
      <c r="Z119" s="182">
        <v>0</v>
      </c>
      <c r="AA119" s="182">
        <v>0</v>
      </c>
      <c r="AB119" s="182">
        <v>0</v>
      </c>
      <c r="AC119" s="182">
        <v>0</v>
      </c>
      <c r="AD119" s="182">
        <v>0</v>
      </c>
      <c r="AE119" s="182">
        <v>0</v>
      </c>
      <c r="AF119" s="182">
        <v>0</v>
      </c>
      <c r="AG119" s="182">
        <v>0</v>
      </c>
      <c r="AH119" s="182">
        <v>0</v>
      </c>
      <c r="AI119" s="182">
        <v>0</v>
      </c>
      <c r="AJ119" s="182">
        <v>0</v>
      </c>
      <c r="AL119" s="185">
        <f t="shared" si="52"/>
        <v>1</v>
      </c>
      <c r="AM119" s="185">
        <f t="shared" si="53"/>
        <v>0</v>
      </c>
      <c r="AN119" s="185">
        <f t="shared" si="54"/>
        <v>0</v>
      </c>
      <c r="AO119" s="185">
        <f t="shared" si="55"/>
        <v>0</v>
      </c>
      <c r="AP119" s="185">
        <f t="shared" si="56"/>
        <v>0</v>
      </c>
      <c r="AQ119" s="185">
        <f t="shared" si="57"/>
        <v>0</v>
      </c>
      <c r="AR119" s="185">
        <f t="shared" si="58"/>
        <v>0</v>
      </c>
      <c r="AS119" s="185">
        <f t="shared" si="59"/>
        <v>0</v>
      </c>
      <c r="AT119" s="185">
        <f t="shared" si="60"/>
        <v>0</v>
      </c>
      <c r="AU119" s="185">
        <f t="shared" si="61"/>
        <v>0</v>
      </c>
      <c r="AV119" s="185">
        <f t="shared" si="62"/>
        <v>0</v>
      </c>
      <c r="AW119" s="185">
        <f t="shared" si="63"/>
        <v>0</v>
      </c>
      <c r="AX119" s="185">
        <f t="shared" si="64"/>
        <v>0</v>
      </c>
      <c r="AY119" s="185">
        <f t="shared" si="65"/>
        <v>0</v>
      </c>
      <c r="AZ119" s="185">
        <f t="shared" si="66"/>
        <v>0</v>
      </c>
      <c r="BA119" s="185">
        <f t="shared" si="67"/>
        <v>0</v>
      </c>
      <c r="BB119" s="185">
        <f t="shared" si="68"/>
        <v>0</v>
      </c>
      <c r="BC119" s="185">
        <f t="shared" si="69"/>
        <v>0</v>
      </c>
      <c r="BD119" s="185">
        <f t="shared" si="70"/>
        <v>0</v>
      </c>
      <c r="BE119" s="185">
        <f t="shared" si="71"/>
        <v>0</v>
      </c>
    </row>
    <row r="120" spans="1:57" s="90" customFormat="1" ht="15" hidden="1" customHeight="1" x14ac:dyDescent="0.25">
      <c r="A120" s="187" t="b">
        <v>1</v>
      </c>
      <c r="B120" s="188" t="b">
        <v>1</v>
      </c>
      <c r="C120" s="179" t="e">
        <f t="shared" si="48"/>
        <v>#N/A</v>
      </c>
      <c r="E120" s="180">
        <v>2091</v>
      </c>
      <c r="F120" s="100">
        <f t="shared" si="72"/>
        <v>120</v>
      </c>
      <c r="G120" s="181">
        <f t="shared" si="49"/>
        <v>-53</v>
      </c>
      <c r="H120" s="181" t="e">
        <f t="shared" si="51"/>
        <v>#N/A</v>
      </c>
      <c r="J120" s="182">
        <v>0</v>
      </c>
      <c r="K120" s="101"/>
      <c r="L120" s="183" t="e">
        <f t="shared" si="50"/>
        <v>#N/A</v>
      </c>
      <c r="M120" s="184"/>
      <c r="N120" s="91"/>
      <c r="O120" s="91"/>
      <c r="P120" s="90">
        <v>0</v>
      </c>
      <c r="Q120" s="87">
        <v>1</v>
      </c>
      <c r="R120" s="185">
        <v>0</v>
      </c>
      <c r="S120" s="185">
        <v>0</v>
      </c>
      <c r="T120" s="185">
        <v>0</v>
      </c>
      <c r="U120" s="185">
        <v>0</v>
      </c>
      <c r="V120" s="182">
        <v>0</v>
      </c>
      <c r="W120" s="182">
        <v>0</v>
      </c>
      <c r="X120" s="182">
        <v>0</v>
      </c>
      <c r="Y120" s="182">
        <v>0</v>
      </c>
      <c r="Z120" s="182">
        <v>0</v>
      </c>
      <c r="AA120" s="182">
        <v>0</v>
      </c>
      <c r="AB120" s="182">
        <v>0</v>
      </c>
      <c r="AC120" s="182">
        <v>0</v>
      </c>
      <c r="AD120" s="182">
        <v>0</v>
      </c>
      <c r="AE120" s="182">
        <v>0</v>
      </c>
      <c r="AF120" s="182">
        <v>0</v>
      </c>
      <c r="AG120" s="182">
        <v>0</v>
      </c>
      <c r="AH120" s="182">
        <v>0</v>
      </c>
      <c r="AI120" s="182">
        <v>0</v>
      </c>
      <c r="AJ120" s="182">
        <v>0</v>
      </c>
      <c r="AL120" s="185">
        <f t="shared" si="52"/>
        <v>1</v>
      </c>
      <c r="AM120" s="185">
        <f t="shared" si="53"/>
        <v>0</v>
      </c>
      <c r="AN120" s="185">
        <f t="shared" si="54"/>
        <v>0</v>
      </c>
      <c r="AO120" s="185">
        <f t="shared" si="55"/>
        <v>0</v>
      </c>
      <c r="AP120" s="185">
        <f t="shared" si="56"/>
        <v>0</v>
      </c>
      <c r="AQ120" s="185">
        <f t="shared" si="57"/>
        <v>0</v>
      </c>
      <c r="AR120" s="185">
        <f t="shared" si="58"/>
        <v>0</v>
      </c>
      <c r="AS120" s="185">
        <f t="shared" si="59"/>
        <v>0</v>
      </c>
      <c r="AT120" s="185">
        <f t="shared" si="60"/>
        <v>0</v>
      </c>
      <c r="AU120" s="185">
        <f t="shared" si="61"/>
        <v>0</v>
      </c>
      <c r="AV120" s="185">
        <f t="shared" si="62"/>
        <v>0</v>
      </c>
      <c r="AW120" s="185">
        <f t="shared" si="63"/>
        <v>0</v>
      </c>
      <c r="AX120" s="185">
        <f t="shared" si="64"/>
        <v>0</v>
      </c>
      <c r="AY120" s="185">
        <f t="shared" si="65"/>
        <v>0</v>
      </c>
      <c r="AZ120" s="185">
        <f t="shared" si="66"/>
        <v>0</v>
      </c>
      <c r="BA120" s="185">
        <f t="shared" si="67"/>
        <v>0</v>
      </c>
      <c r="BB120" s="185">
        <f t="shared" si="68"/>
        <v>0</v>
      </c>
      <c r="BC120" s="185">
        <f t="shared" si="69"/>
        <v>0</v>
      </c>
      <c r="BD120" s="185">
        <f t="shared" si="70"/>
        <v>0</v>
      </c>
      <c r="BE120" s="185">
        <f t="shared" si="71"/>
        <v>0</v>
      </c>
    </row>
    <row r="121" spans="1:57" s="90" customFormat="1" ht="15" hidden="1" customHeight="1" x14ac:dyDescent="0.25">
      <c r="A121" s="187" t="b">
        <v>1</v>
      </c>
      <c r="B121" s="188" t="b">
        <v>1</v>
      </c>
      <c r="C121" s="179" t="e">
        <f t="shared" si="48"/>
        <v>#N/A</v>
      </c>
      <c r="E121" s="180">
        <v>2092</v>
      </c>
      <c r="F121" s="100">
        <f t="shared" si="72"/>
        <v>121</v>
      </c>
      <c r="G121" s="181">
        <f t="shared" si="49"/>
        <v>-54</v>
      </c>
      <c r="H121" s="181" t="e">
        <f t="shared" si="51"/>
        <v>#N/A</v>
      </c>
      <c r="J121" s="182">
        <v>0</v>
      </c>
      <c r="K121" s="101"/>
      <c r="L121" s="183" t="e">
        <f t="shared" si="50"/>
        <v>#N/A</v>
      </c>
      <c r="M121" s="184"/>
      <c r="N121" s="91"/>
      <c r="O121" s="91"/>
      <c r="P121" s="90">
        <v>0</v>
      </c>
      <c r="Q121" s="87">
        <v>1</v>
      </c>
      <c r="R121" s="185">
        <v>0</v>
      </c>
      <c r="S121" s="185">
        <v>0</v>
      </c>
      <c r="T121" s="185">
        <v>0</v>
      </c>
      <c r="U121" s="185">
        <v>0</v>
      </c>
      <c r="V121" s="182">
        <v>0</v>
      </c>
      <c r="W121" s="182">
        <v>0</v>
      </c>
      <c r="X121" s="182">
        <v>0</v>
      </c>
      <c r="Y121" s="182">
        <v>0</v>
      </c>
      <c r="Z121" s="182">
        <v>0</v>
      </c>
      <c r="AA121" s="182">
        <v>0</v>
      </c>
      <c r="AB121" s="182">
        <v>0</v>
      </c>
      <c r="AC121" s="182">
        <v>0</v>
      </c>
      <c r="AD121" s="182">
        <v>0</v>
      </c>
      <c r="AE121" s="182">
        <v>0</v>
      </c>
      <c r="AF121" s="182">
        <v>0</v>
      </c>
      <c r="AG121" s="182">
        <v>0</v>
      </c>
      <c r="AH121" s="182">
        <v>0</v>
      </c>
      <c r="AI121" s="182">
        <v>0</v>
      </c>
      <c r="AJ121" s="182">
        <v>0</v>
      </c>
      <c r="AL121" s="185">
        <f t="shared" si="52"/>
        <v>1</v>
      </c>
      <c r="AM121" s="185">
        <f t="shared" si="53"/>
        <v>0</v>
      </c>
      <c r="AN121" s="185">
        <f t="shared" si="54"/>
        <v>0</v>
      </c>
      <c r="AO121" s="185">
        <f t="shared" si="55"/>
        <v>0</v>
      </c>
      <c r="AP121" s="185">
        <f t="shared" si="56"/>
        <v>0</v>
      </c>
      <c r="AQ121" s="185">
        <f t="shared" si="57"/>
        <v>0</v>
      </c>
      <c r="AR121" s="185">
        <f t="shared" si="58"/>
        <v>0</v>
      </c>
      <c r="AS121" s="185">
        <f t="shared" si="59"/>
        <v>0</v>
      </c>
      <c r="AT121" s="185">
        <f t="shared" si="60"/>
        <v>0</v>
      </c>
      <c r="AU121" s="185">
        <f t="shared" si="61"/>
        <v>0</v>
      </c>
      <c r="AV121" s="185">
        <f t="shared" si="62"/>
        <v>0</v>
      </c>
      <c r="AW121" s="185">
        <f t="shared" si="63"/>
        <v>0</v>
      </c>
      <c r="AX121" s="185">
        <f t="shared" si="64"/>
        <v>0</v>
      </c>
      <c r="AY121" s="185">
        <f t="shared" si="65"/>
        <v>0</v>
      </c>
      <c r="AZ121" s="185">
        <f t="shared" si="66"/>
        <v>0</v>
      </c>
      <c r="BA121" s="185">
        <f t="shared" si="67"/>
        <v>0</v>
      </c>
      <c r="BB121" s="185">
        <f t="shared" si="68"/>
        <v>0</v>
      </c>
      <c r="BC121" s="185">
        <f t="shared" si="69"/>
        <v>0</v>
      </c>
      <c r="BD121" s="185">
        <f t="shared" si="70"/>
        <v>0</v>
      </c>
      <c r="BE121" s="185">
        <f t="shared" si="71"/>
        <v>0</v>
      </c>
    </row>
    <row r="122" spans="1:57" s="90" customFormat="1" ht="15" hidden="1" customHeight="1" x14ac:dyDescent="0.25">
      <c r="A122" s="187" t="b">
        <v>1</v>
      </c>
      <c r="B122" s="188" t="b">
        <v>1</v>
      </c>
      <c r="C122" s="179" t="e">
        <f t="shared" si="48"/>
        <v>#N/A</v>
      </c>
      <c r="E122" s="180">
        <v>2093</v>
      </c>
      <c r="F122" s="100">
        <f t="shared" si="72"/>
        <v>122</v>
      </c>
      <c r="G122" s="181">
        <f t="shared" si="49"/>
        <v>-55</v>
      </c>
      <c r="H122" s="181" t="e">
        <f t="shared" si="51"/>
        <v>#N/A</v>
      </c>
      <c r="J122" s="182">
        <v>0</v>
      </c>
      <c r="K122" s="101"/>
      <c r="L122" s="183" t="e">
        <f t="shared" si="50"/>
        <v>#N/A</v>
      </c>
      <c r="M122" s="184"/>
      <c r="N122" s="91"/>
      <c r="O122" s="91"/>
      <c r="P122" s="90">
        <v>0</v>
      </c>
      <c r="Q122" s="87">
        <v>1</v>
      </c>
      <c r="R122" s="185">
        <v>0</v>
      </c>
      <c r="S122" s="185">
        <v>0</v>
      </c>
      <c r="T122" s="185">
        <v>0</v>
      </c>
      <c r="U122" s="185">
        <v>0</v>
      </c>
      <c r="V122" s="182">
        <v>0</v>
      </c>
      <c r="W122" s="182">
        <v>0</v>
      </c>
      <c r="X122" s="182">
        <v>0</v>
      </c>
      <c r="Y122" s="182">
        <v>0</v>
      </c>
      <c r="Z122" s="182">
        <v>0</v>
      </c>
      <c r="AA122" s="182">
        <v>0</v>
      </c>
      <c r="AB122" s="182">
        <v>0</v>
      </c>
      <c r="AC122" s="182">
        <v>0</v>
      </c>
      <c r="AD122" s="182">
        <v>0</v>
      </c>
      <c r="AE122" s="182">
        <v>0</v>
      </c>
      <c r="AF122" s="182">
        <v>0</v>
      </c>
      <c r="AG122" s="182">
        <v>0</v>
      </c>
      <c r="AH122" s="182">
        <v>0</v>
      </c>
      <c r="AI122" s="182">
        <v>0</v>
      </c>
      <c r="AJ122" s="182">
        <v>0</v>
      </c>
      <c r="AL122" s="185">
        <f t="shared" si="52"/>
        <v>1</v>
      </c>
      <c r="AM122" s="185">
        <f t="shared" si="53"/>
        <v>0</v>
      </c>
      <c r="AN122" s="185">
        <f t="shared" si="54"/>
        <v>0</v>
      </c>
      <c r="AO122" s="185">
        <f t="shared" si="55"/>
        <v>0</v>
      </c>
      <c r="AP122" s="185">
        <f t="shared" si="56"/>
        <v>0</v>
      </c>
      <c r="AQ122" s="185">
        <f t="shared" si="57"/>
        <v>0</v>
      </c>
      <c r="AR122" s="185">
        <f t="shared" si="58"/>
        <v>0</v>
      </c>
      <c r="AS122" s="185">
        <f t="shared" si="59"/>
        <v>0</v>
      </c>
      <c r="AT122" s="185">
        <f t="shared" si="60"/>
        <v>0</v>
      </c>
      <c r="AU122" s="185">
        <f t="shared" si="61"/>
        <v>0</v>
      </c>
      <c r="AV122" s="185">
        <f t="shared" si="62"/>
        <v>0</v>
      </c>
      <c r="AW122" s="185">
        <f t="shared" si="63"/>
        <v>0</v>
      </c>
      <c r="AX122" s="185">
        <f t="shared" si="64"/>
        <v>0</v>
      </c>
      <c r="AY122" s="185">
        <f t="shared" si="65"/>
        <v>0</v>
      </c>
      <c r="AZ122" s="185">
        <f t="shared" si="66"/>
        <v>0</v>
      </c>
      <c r="BA122" s="185">
        <f t="shared" si="67"/>
        <v>0</v>
      </c>
      <c r="BB122" s="185">
        <f t="shared" si="68"/>
        <v>0</v>
      </c>
      <c r="BC122" s="185">
        <f t="shared" si="69"/>
        <v>0</v>
      </c>
      <c r="BD122" s="185">
        <f t="shared" si="70"/>
        <v>0</v>
      </c>
      <c r="BE122" s="185">
        <f t="shared" si="71"/>
        <v>0</v>
      </c>
    </row>
    <row r="123" spans="1:57" s="90" customFormat="1" ht="15" hidden="1" customHeight="1" x14ac:dyDescent="0.25">
      <c r="A123" s="187" t="b">
        <v>1</v>
      </c>
      <c r="B123" s="188" t="b">
        <v>1</v>
      </c>
      <c r="C123" s="179" t="e">
        <f t="shared" si="48"/>
        <v>#N/A</v>
      </c>
      <c r="E123" s="180">
        <v>2094</v>
      </c>
      <c r="F123" s="100">
        <f t="shared" si="72"/>
        <v>123</v>
      </c>
      <c r="G123" s="181">
        <f t="shared" si="49"/>
        <v>-56</v>
      </c>
      <c r="H123" s="181" t="e">
        <f t="shared" si="51"/>
        <v>#N/A</v>
      </c>
      <c r="J123" s="182">
        <v>0</v>
      </c>
      <c r="K123" s="101"/>
      <c r="L123" s="183" t="e">
        <f t="shared" si="50"/>
        <v>#N/A</v>
      </c>
      <c r="M123" s="184"/>
      <c r="N123" s="91"/>
      <c r="O123" s="91"/>
      <c r="P123" s="90">
        <v>0</v>
      </c>
      <c r="Q123" s="87">
        <v>1</v>
      </c>
      <c r="R123" s="185">
        <v>0</v>
      </c>
      <c r="S123" s="185">
        <v>0</v>
      </c>
      <c r="T123" s="185">
        <v>0</v>
      </c>
      <c r="U123" s="185">
        <v>0</v>
      </c>
      <c r="V123" s="182">
        <v>0</v>
      </c>
      <c r="W123" s="182">
        <v>0</v>
      </c>
      <c r="X123" s="182">
        <v>0</v>
      </c>
      <c r="Y123" s="182">
        <v>0</v>
      </c>
      <c r="Z123" s="182">
        <v>0</v>
      </c>
      <c r="AA123" s="182">
        <v>0</v>
      </c>
      <c r="AB123" s="182">
        <v>0</v>
      </c>
      <c r="AC123" s="182">
        <v>0</v>
      </c>
      <c r="AD123" s="182">
        <v>0</v>
      </c>
      <c r="AE123" s="182">
        <v>0</v>
      </c>
      <c r="AF123" s="182">
        <v>0</v>
      </c>
      <c r="AG123" s="182">
        <v>0</v>
      </c>
      <c r="AH123" s="182">
        <v>0</v>
      </c>
      <c r="AI123" s="182">
        <v>0</v>
      </c>
      <c r="AJ123" s="182">
        <v>0</v>
      </c>
      <c r="AL123" s="185">
        <f t="shared" si="52"/>
        <v>1</v>
      </c>
      <c r="AM123" s="185">
        <f t="shared" si="53"/>
        <v>0</v>
      </c>
      <c r="AN123" s="185">
        <f t="shared" si="54"/>
        <v>0</v>
      </c>
      <c r="AO123" s="185">
        <f t="shared" si="55"/>
        <v>0</v>
      </c>
      <c r="AP123" s="185">
        <f t="shared" si="56"/>
        <v>0</v>
      </c>
      <c r="AQ123" s="185">
        <f t="shared" si="57"/>
        <v>0</v>
      </c>
      <c r="AR123" s="185">
        <f t="shared" si="58"/>
        <v>0</v>
      </c>
      <c r="AS123" s="185">
        <f t="shared" si="59"/>
        <v>0</v>
      </c>
      <c r="AT123" s="185">
        <f t="shared" si="60"/>
        <v>0</v>
      </c>
      <c r="AU123" s="185">
        <f t="shared" si="61"/>
        <v>0</v>
      </c>
      <c r="AV123" s="185">
        <f t="shared" si="62"/>
        <v>0</v>
      </c>
      <c r="AW123" s="185">
        <f t="shared" si="63"/>
        <v>0</v>
      </c>
      <c r="AX123" s="185">
        <f t="shared" si="64"/>
        <v>0</v>
      </c>
      <c r="AY123" s="185">
        <f t="shared" si="65"/>
        <v>0</v>
      </c>
      <c r="AZ123" s="185">
        <f t="shared" si="66"/>
        <v>0</v>
      </c>
      <c r="BA123" s="185">
        <f t="shared" si="67"/>
        <v>0</v>
      </c>
      <c r="BB123" s="185">
        <f t="shared" si="68"/>
        <v>0</v>
      </c>
      <c r="BC123" s="185">
        <f t="shared" si="69"/>
        <v>0</v>
      </c>
      <c r="BD123" s="185">
        <f t="shared" si="70"/>
        <v>0</v>
      </c>
      <c r="BE123" s="185">
        <f t="shared" si="71"/>
        <v>0</v>
      </c>
    </row>
    <row r="124" spans="1:57" s="90" customFormat="1" ht="15" hidden="1" customHeight="1" x14ac:dyDescent="0.25">
      <c r="A124" s="187" t="b">
        <v>1</v>
      </c>
      <c r="B124" s="188" t="b">
        <v>1</v>
      </c>
      <c r="C124" s="179" t="e">
        <f t="shared" si="48"/>
        <v>#N/A</v>
      </c>
      <c r="E124" s="180">
        <v>2095</v>
      </c>
      <c r="F124" s="100">
        <f t="shared" si="72"/>
        <v>124</v>
      </c>
      <c r="G124" s="181">
        <f t="shared" si="49"/>
        <v>-57</v>
      </c>
      <c r="H124" s="181" t="e">
        <f t="shared" si="51"/>
        <v>#N/A</v>
      </c>
      <c r="J124" s="182">
        <v>0</v>
      </c>
      <c r="K124" s="101"/>
      <c r="L124" s="183" t="e">
        <f t="shared" si="50"/>
        <v>#N/A</v>
      </c>
      <c r="M124" s="184"/>
      <c r="N124" s="91"/>
      <c r="O124" s="91"/>
      <c r="P124" s="90">
        <v>0</v>
      </c>
      <c r="Q124" s="87">
        <v>1</v>
      </c>
      <c r="R124" s="185">
        <v>0</v>
      </c>
      <c r="S124" s="185">
        <v>0</v>
      </c>
      <c r="T124" s="185">
        <v>0</v>
      </c>
      <c r="U124" s="185">
        <v>0</v>
      </c>
      <c r="V124" s="182">
        <v>0</v>
      </c>
      <c r="W124" s="182">
        <v>0</v>
      </c>
      <c r="X124" s="182">
        <v>0</v>
      </c>
      <c r="Y124" s="182">
        <v>0</v>
      </c>
      <c r="Z124" s="182">
        <v>0</v>
      </c>
      <c r="AA124" s="182">
        <v>0</v>
      </c>
      <c r="AB124" s="182">
        <v>0</v>
      </c>
      <c r="AC124" s="182">
        <v>0</v>
      </c>
      <c r="AD124" s="182">
        <v>0</v>
      </c>
      <c r="AE124" s="182">
        <v>0</v>
      </c>
      <c r="AF124" s="182">
        <v>0</v>
      </c>
      <c r="AG124" s="182">
        <v>0</v>
      </c>
      <c r="AH124" s="182">
        <v>0</v>
      </c>
      <c r="AI124" s="182">
        <v>0</v>
      </c>
      <c r="AJ124" s="182">
        <v>0</v>
      </c>
      <c r="AL124" s="185">
        <f t="shared" si="52"/>
        <v>1</v>
      </c>
      <c r="AM124" s="185">
        <f t="shared" si="53"/>
        <v>0</v>
      </c>
      <c r="AN124" s="185">
        <f t="shared" si="54"/>
        <v>0</v>
      </c>
      <c r="AO124" s="185">
        <f t="shared" si="55"/>
        <v>0</v>
      </c>
      <c r="AP124" s="185">
        <f t="shared" si="56"/>
        <v>0</v>
      </c>
      <c r="AQ124" s="185">
        <f t="shared" si="57"/>
        <v>0</v>
      </c>
      <c r="AR124" s="185">
        <f t="shared" si="58"/>
        <v>0</v>
      </c>
      <c r="AS124" s="185">
        <f t="shared" si="59"/>
        <v>0</v>
      </c>
      <c r="AT124" s="185">
        <f t="shared" si="60"/>
        <v>0</v>
      </c>
      <c r="AU124" s="185">
        <f t="shared" si="61"/>
        <v>0</v>
      </c>
      <c r="AV124" s="185">
        <f t="shared" si="62"/>
        <v>0</v>
      </c>
      <c r="AW124" s="185">
        <f t="shared" si="63"/>
        <v>0</v>
      </c>
      <c r="AX124" s="185">
        <f t="shared" si="64"/>
        <v>0</v>
      </c>
      <c r="AY124" s="185">
        <f t="shared" si="65"/>
        <v>0</v>
      </c>
      <c r="AZ124" s="185">
        <f t="shared" si="66"/>
        <v>0</v>
      </c>
      <c r="BA124" s="185">
        <f t="shared" si="67"/>
        <v>0</v>
      </c>
      <c r="BB124" s="185">
        <f t="shared" si="68"/>
        <v>0</v>
      </c>
      <c r="BC124" s="185">
        <f t="shared" si="69"/>
        <v>0</v>
      </c>
      <c r="BD124" s="185">
        <f t="shared" si="70"/>
        <v>0</v>
      </c>
      <c r="BE124" s="185">
        <f t="shared" si="71"/>
        <v>0</v>
      </c>
    </row>
    <row r="125" spans="1:57" s="90" customFormat="1" ht="15" hidden="1" customHeight="1" x14ac:dyDescent="0.25">
      <c r="A125" s="187" t="b">
        <v>1</v>
      </c>
      <c r="B125" s="188" t="b">
        <v>1</v>
      </c>
      <c r="C125" s="179" t="e">
        <f t="shared" si="48"/>
        <v>#N/A</v>
      </c>
      <c r="E125" s="180">
        <v>2096</v>
      </c>
      <c r="F125" s="100">
        <f t="shared" si="72"/>
        <v>125</v>
      </c>
      <c r="G125" s="181">
        <f t="shared" si="49"/>
        <v>-58</v>
      </c>
      <c r="H125" s="181" t="e">
        <f t="shared" si="51"/>
        <v>#N/A</v>
      </c>
      <c r="J125" s="182">
        <v>0</v>
      </c>
      <c r="K125" s="101"/>
      <c r="L125" s="183" t="e">
        <f t="shared" si="50"/>
        <v>#N/A</v>
      </c>
      <c r="M125" s="184"/>
      <c r="N125" s="91"/>
      <c r="O125" s="91"/>
      <c r="P125" s="90">
        <v>0</v>
      </c>
      <c r="Q125" s="87">
        <v>1</v>
      </c>
      <c r="R125" s="185">
        <v>0</v>
      </c>
      <c r="S125" s="185">
        <v>0</v>
      </c>
      <c r="T125" s="185">
        <v>0</v>
      </c>
      <c r="U125" s="185">
        <v>0</v>
      </c>
      <c r="V125" s="182">
        <v>0</v>
      </c>
      <c r="W125" s="182">
        <v>0</v>
      </c>
      <c r="X125" s="182">
        <v>0</v>
      </c>
      <c r="Y125" s="182">
        <v>0</v>
      </c>
      <c r="Z125" s="182">
        <v>0</v>
      </c>
      <c r="AA125" s="182">
        <v>0</v>
      </c>
      <c r="AB125" s="182">
        <v>0</v>
      </c>
      <c r="AC125" s="182">
        <v>0</v>
      </c>
      <c r="AD125" s="182">
        <v>0</v>
      </c>
      <c r="AE125" s="182">
        <v>0</v>
      </c>
      <c r="AF125" s="182">
        <v>0</v>
      </c>
      <c r="AG125" s="182">
        <v>0</v>
      </c>
      <c r="AH125" s="182">
        <v>0</v>
      </c>
      <c r="AI125" s="182">
        <v>0</v>
      </c>
      <c r="AJ125" s="182">
        <v>0</v>
      </c>
      <c r="AL125" s="185">
        <f t="shared" si="52"/>
        <v>1</v>
      </c>
      <c r="AM125" s="185">
        <f t="shared" si="53"/>
        <v>0</v>
      </c>
      <c r="AN125" s="185">
        <f t="shared" si="54"/>
        <v>0</v>
      </c>
      <c r="AO125" s="185">
        <f t="shared" si="55"/>
        <v>0</v>
      </c>
      <c r="AP125" s="185">
        <f t="shared" si="56"/>
        <v>0</v>
      </c>
      <c r="AQ125" s="185">
        <f t="shared" si="57"/>
        <v>0</v>
      </c>
      <c r="AR125" s="185">
        <f t="shared" si="58"/>
        <v>0</v>
      </c>
      <c r="AS125" s="185">
        <f t="shared" si="59"/>
        <v>0</v>
      </c>
      <c r="AT125" s="185">
        <f t="shared" si="60"/>
        <v>0</v>
      </c>
      <c r="AU125" s="185">
        <f t="shared" si="61"/>
        <v>0</v>
      </c>
      <c r="AV125" s="185">
        <f t="shared" si="62"/>
        <v>0</v>
      </c>
      <c r="AW125" s="185">
        <f t="shared" si="63"/>
        <v>0</v>
      </c>
      <c r="AX125" s="185">
        <f t="shared" si="64"/>
        <v>0</v>
      </c>
      <c r="AY125" s="185">
        <f t="shared" si="65"/>
        <v>0</v>
      </c>
      <c r="AZ125" s="185">
        <f t="shared" si="66"/>
        <v>0</v>
      </c>
      <c r="BA125" s="185">
        <f t="shared" si="67"/>
        <v>0</v>
      </c>
      <c r="BB125" s="185">
        <f t="shared" si="68"/>
        <v>0</v>
      </c>
      <c r="BC125" s="185">
        <f t="shared" si="69"/>
        <v>0</v>
      </c>
      <c r="BD125" s="185">
        <f t="shared" si="70"/>
        <v>0</v>
      </c>
      <c r="BE125" s="185">
        <f t="shared" si="71"/>
        <v>0</v>
      </c>
    </row>
    <row r="126" spans="1:57" s="90" customFormat="1" ht="15" hidden="1" customHeight="1" x14ac:dyDescent="0.25">
      <c r="A126" s="187" t="b">
        <v>1</v>
      </c>
      <c r="B126" s="188" t="b">
        <v>1</v>
      </c>
      <c r="C126" s="179" t="e">
        <f t="shared" si="48"/>
        <v>#N/A</v>
      </c>
      <c r="E126" s="180">
        <v>2097</v>
      </c>
      <c r="F126" s="100">
        <f t="shared" si="72"/>
        <v>126</v>
      </c>
      <c r="G126" s="181">
        <f t="shared" si="49"/>
        <v>-59</v>
      </c>
      <c r="H126" s="181" t="e">
        <f t="shared" si="51"/>
        <v>#N/A</v>
      </c>
      <c r="J126" s="182">
        <v>0</v>
      </c>
      <c r="K126" s="101"/>
      <c r="L126" s="183" t="e">
        <f t="shared" si="50"/>
        <v>#N/A</v>
      </c>
      <c r="M126" s="184"/>
      <c r="N126" s="91"/>
      <c r="O126" s="91"/>
      <c r="P126" s="90">
        <v>0</v>
      </c>
      <c r="Q126" s="87">
        <v>1</v>
      </c>
      <c r="R126" s="185">
        <v>0</v>
      </c>
      <c r="S126" s="185">
        <v>0</v>
      </c>
      <c r="T126" s="185">
        <v>0</v>
      </c>
      <c r="U126" s="185">
        <v>0</v>
      </c>
      <c r="V126" s="182">
        <v>0</v>
      </c>
      <c r="W126" s="182">
        <v>0</v>
      </c>
      <c r="X126" s="182">
        <v>0</v>
      </c>
      <c r="Y126" s="182">
        <v>0</v>
      </c>
      <c r="Z126" s="182">
        <v>0</v>
      </c>
      <c r="AA126" s="182">
        <v>0</v>
      </c>
      <c r="AB126" s="182">
        <v>0</v>
      </c>
      <c r="AC126" s="182">
        <v>0</v>
      </c>
      <c r="AD126" s="182">
        <v>0</v>
      </c>
      <c r="AE126" s="182">
        <v>0</v>
      </c>
      <c r="AF126" s="182">
        <v>0</v>
      </c>
      <c r="AG126" s="182">
        <v>0</v>
      </c>
      <c r="AH126" s="182">
        <v>0</v>
      </c>
      <c r="AI126" s="182">
        <v>0</v>
      </c>
      <c r="AJ126" s="182">
        <v>0</v>
      </c>
      <c r="AL126" s="185">
        <f t="shared" si="52"/>
        <v>1</v>
      </c>
      <c r="AM126" s="185">
        <f t="shared" si="53"/>
        <v>0</v>
      </c>
      <c r="AN126" s="185">
        <f t="shared" si="54"/>
        <v>0</v>
      </c>
      <c r="AO126" s="185">
        <f t="shared" si="55"/>
        <v>0</v>
      </c>
      <c r="AP126" s="185">
        <f t="shared" si="56"/>
        <v>0</v>
      </c>
      <c r="AQ126" s="185">
        <f t="shared" si="57"/>
        <v>0</v>
      </c>
      <c r="AR126" s="185">
        <f t="shared" si="58"/>
        <v>0</v>
      </c>
      <c r="AS126" s="185">
        <f t="shared" si="59"/>
        <v>0</v>
      </c>
      <c r="AT126" s="185">
        <f t="shared" si="60"/>
        <v>0</v>
      </c>
      <c r="AU126" s="185">
        <f t="shared" si="61"/>
        <v>0</v>
      </c>
      <c r="AV126" s="185">
        <f t="shared" si="62"/>
        <v>0</v>
      </c>
      <c r="AW126" s="185">
        <f t="shared" si="63"/>
        <v>0</v>
      </c>
      <c r="AX126" s="185">
        <f t="shared" si="64"/>
        <v>0</v>
      </c>
      <c r="AY126" s="185">
        <f t="shared" si="65"/>
        <v>0</v>
      </c>
      <c r="AZ126" s="185">
        <f t="shared" si="66"/>
        <v>0</v>
      </c>
      <c r="BA126" s="185">
        <f t="shared" si="67"/>
        <v>0</v>
      </c>
      <c r="BB126" s="185">
        <f t="shared" si="68"/>
        <v>0</v>
      </c>
      <c r="BC126" s="185">
        <f t="shared" si="69"/>
        <v>0</v>
      </c>
      <c r="BD126" s="185">
        <f t="shared" si="70"/>
        <v>0</v>
      </c>
      <c r="BE126" s="185">
        <f t="shared" si="71"/>
        <v>0</v>
      </c>
    </row>
    <row r="127" spans="1:57" s="90" customFormat="1" ht="15" hidden="1" customHeight="1" x14ac:dyDescent="0.25">
      <c r="A127" s="187" t="b">
        <v>1</v>
      </c>
      <c r="B127" s="188" t="b">
        <v>1</v>
      </c>
      <c r="C127" s="179" t="e">
        <f t="shared" si="48"/>
        <v>#N/A</v>
      </c>
      <c r="E127" s="180">
        <v>2098</v>
      </c>
      <c r="F127" s="100">
        <f t="shared" si="72"/>
        <v>127</v>
      </c>
      <c r="G127" s="181">
        <f t="shared" si="49"/>
        <v>-60</v>
      </c>
      <c r="H127" s="181" t="e">
        <f t="shared" si="51"/>
        <v>#N/A</v>
      </c>
      <c r="J127" s="182">
        <v>0</v>
      </c>
      <c r="K127" s="101"/>
      <c r="L127" s="183" t="e">
        <f t="shared" si="50"/>
        <v>#N/A</v>
      </c>
      <c r="M127" s="184"/>
      <c r="N127" s="91"/>
      <c r="O127" s="91"/>
      <c r="P127" s="90">
        <v>0</v>
      </c>
      <c r="Q127" s="87">
        <v>1</v>
      </c>
      <c r="R127" s="185">
        <v>0</v>
      </c>
      <c r="S127" s="185">
        <v>0</v>
      </c>
      <c r="T127" s="185">
        <v>0</v>
      </c>
      <c r="U127" s="185">
        <v>0</v>
      </c>
      <c r="V127" s="182">
        <v>0</v>
      </c>
      <c r="W127" s="182">
        <v>0</v>
      </c>
      <c r="X127" s="182">
        <v>0</v>
      </c>
      <c r="Y127" s="182">
        <v>0</v>
      </c>
      <c r="Z127" s="182">
        <v>0</v>
      </c>
      <c r="AA127" s="182">
        <v>0</v>
      </c>
      <c r="AB127" s="182">
        <v>0</v>
      </c>
      <c r="AC127" s="182">
        <v>0</v>
      </c>
      <c r="AD127" s="182">
        <v>0</v>
      </c>
      <c r="AE127" s="182">
        <v>0</v>
      </c>
      <c r="AF127" s="182">
        <v>0</v>
      </c>
      <c r="AG127" s="182">
        <v>0</v>
      </c>
      <c r="AH127" s="182">
        <v>0</v>
      </c>
      <c r="AI127" s="182">
        <v>0</v>
      </c>
      <c r="AJ127" s="182">
        <v>0</v>
      </c>
      <c r="AL127" s="185">
        <f t="shared" si="52"/>
        <v>1</v>
      </c>
      <c r="AM127" s="185">
        <f t="shared" si="53"/>
        <v>0</v>
      </c>
      <c r="AN127" s="185">
        <f t="shared" si="54"/>
        <v>0</v>
      </c>
      <c r="AO127" s="185">
        <f t="shared" si="55"/>
        <v>0</v>
      </c>
      <c r="AP127" s="185">
        <f t="shared" si="56"/>
        <v>0</v>
      </c>
      <c r="AQ127" s="185">
        <f t="shared" si="57"/>
        <v>0</v>
      </c>
      <c r="AR127" s="185">
        <f t="shared" si="58"/>
        <v>0</v>
      </c>
      <c r="AS127" s="185">
        <f t="shared" si="59"/>
        <v>0</v>
      </c>
      <c r="AT127" s="185">
        <f t="shared" si="60"/>
        <v>0</v>
      </c>
      <c r="AU127" s="185">
        <f t="shared" si="61"/>
        <v>0</v>
      </c>
      <c r="AV127" s="185">
        <f t="shared" si="62"/>
        <v>0</v>
      </c>
      <c r="AW127" s="185">
        <f t="shared" si="63"/>
        <v>0</v>
      </c>
      <c r="AX127" s="185">
        <f t="shared" si="64"/>
        <v>0</v>
      </c>
      <c r="AY127" s="185">
        <f t="shared" si="65"/>
        <v>0</v>
      </c>
      <c r="AZ127" s="185">
        <f t="shared" si="66"/>
        <v>0</v>
      </c>
      <c r="BA127" s="185">
        <f t="shared" si="67"/>
        <v>0</v>
      </c>
      <c r="BB127" s="185">
        <f t="shared" si="68"/>
        <v>0</v>
      </c>
      <c r="BC127" s="185">
        <f t="shared" si="69"/>
        <v>0</v>
      </c>
      <c r="BD127" s="185">
        <f t="shared" si="70"/>
        <v>0</v>
      </c>
      <c r="BE127" s="185">
        <f t="shared" si="71"/>
        <v>0</v>
      </c>
    </row>
    <row r="128" spans="1:57" s="90" customFormat="1" ht="15" hidden="1" customHeight="1" x14ac:dyDescent="0.25">
      <c r="A128" s="187" t="b">
        <v>1</v>
      </c>
      <c r="B128" s="188" t="b">
        <v>1</v>
      </c>
      <c r="C128" s="179" t="e">
        <f t="shared" si="48"/>
        <v>#N/A</v>
      </c>
      <c r="E128" s="180">
        <v>2099</v>
      </c>
      <c r="F128" s="100">
        <f t="shared" si="72"/>
        <v>128</v>
      </c>
      <c r="G128" s="181">
        <f t="shared" si="49"/>
        <v>-61</v>
      </c>
      <c r="H128" s="181" t="e">
        <f t="shared" si="51"/>
        <v>#N/A</v>
      </c>
      <c r="J128" s="182">
        <v>0</v>
      </c>
      <c r="K128" s="101"/>
      <c r="L128" s="183" t="e">
        <f t="shared" si="50"/>
        <v>#N/A</v>
      </c>
      <c r="M128" s="184"/>
      <c r="N128" s="91"/>
      <c r="O128" s="91"/>
      <c r="P128" s="90">
        <v>0</v>
      </c>
      <c r="Q128" s="87">
        <v>1</v>
      </c>
      <c r="R128" s="185">
        <v>0</v>
      </c>
      <c r="S128" s="185">
        <v>0</v>
      </c>
      <c r="T128" s="185">
        <v>0</v>
      </c>
      <c r="U128" s="185">
        <v>0</v>
      </c>
      <c r="V128" s="182">
        <v>0</v>
      </c>
      <c r="W128" s="182">
        <v>0</v>
      </c>
      <c r="X128" s="182">
        <v>0</v>
      </c>
      <c r="Y128" s="182">
        <v>0</v>
      </c>
      <c r="Z128" s="182">
        <v>0</v>
      </c>
      <c r="AA128" s="182">
        <v>0</v>
      </c>
      <c r="AB128" s="182">
        <v>0</v>
      </c>
      <c r="AC128" s="182">
        <v>0</v>
      </c>
      <c r="AD128" s="182">
        <v>0</v>
      </c>
      <c r="AE128" s="182">
        <v>0</v>
      </c>
      <c r="AF128" s="182">
        <v>0</v>
      </c>
      <c r="AG128" s="182">
        <v>0</v>
      </c>
      <c r="AH128" s="182">
        <v>0</v>
      </c>
      <c r="AI128" s="182">
        <v>0</v>
      </c>
      <c r="AJ128" s="182">
        <v>0</v>
      </c>
      <c r="AL128" s="185">
        <f t="shared" si="52"/>
        <v>1</v>
      </c>
      <c r="AM128" s="185">
        <f t="shared" si="53"/>
        <v>0</v>
      </c>
      <c r="AN128" s="185">
        <f t="shared" si="54"/>
        <v>0</v>
      </c>
      <c r="AO128" s="185">
        <f t="shared" si="55"/>
        <v>0</v>
      </c>
      <c r="AP128" s="185">
        <f t="shared" si="56"/>
        <v>0</v>
      </c>
      <c r="AQ128" s="185">
        <f t="shared" si="57"/>
        <v>0</v>
      </c>
      <c r="AR128" s="185">
        <f t="shared" si="58"/>
        <v>0</v>
      </c>
      <c r="AS128" s="185">
        <f t="shared" si="59"/>
        <v>0</v>
      </c>
      <c r="AT128" s="185">
        <f t="shared" si="60"/>
        <v>0</v>
      </c>
      <c r="AU128" s="185">
        <f t="shared" si="61"/>
        <v>0</v>
      </c>
      <c r="AV128" s="185">
        <f t="shared" si="62"/>
        <v>0</v>
      </c>
      <c r="AW128" s="185">
        <f t="shared" si="63"/>
        <v>0</v>
      </c>
      <c r="AX128" s="185">
        <f t="shared" si="64"/>
        <v>0</v>
      </c>
      <c r="AY128" s="185">
        <f t="shared" si="65"/>
        <v>0</v>
      </c>
      <c r="AZ128" s="185">
        <f t="shared" si="66"/>
        <v>0</v>
      </c>
      <c r="BA128" s="185">
        <f t="shared" si="67"/>
        <v>0</v>
      </c>
      <c r="BB128" s="185">
        <f t="shared" si="68"/>
        <v>0</v>
      </c>
      <c r="BC128" s="185">
        <f t="shared" si="69"/>
        <v>0</v>
      </c>
      <c r="BD128" s="185">
        <f t="shared" si="70"/>
        <v>0</v>
      </c>
      <c r="BE128" s="185">
        <f t="shared" si="71"/>
        <v>0</v>
      </c>
    </row>
    <row r="129" spans="1:57" s="90" customFormat="1" ht="15" hidden="1" customHeight="1" x14ac:dyDescent="0.25">
      <c r="A129" s="187" t="b">
        <v>1</v>
      </c>
      <c r="B129" s="188" t="b">
        <v>1</v>
      </c>
      <c r="C129" s="179" t="e">
        <f t="shared" si="48"/>
        <v>#N/A</v>
      </c>
      <c r="E129" s="180">
        <v>2100</v>
      </c>
      <c r="F129" s="100">
        <f t="shared" si="72"/>
        <v>129</v>
      </c>
      <c r="G129" s="181">
        <f t="shared" si="49"/>
        <v>-62</v>
      </c>
      <c r="H129" s="181" t="e">
        <f t="shared" si="51"/>
        <v>#N/A</v>
      </c>
      <c r="J129" s="182">
        <v>0</v>
      </c>
      <c r="K129" s="101"/>
      <c r="L129" s="183" t="e">
        <f t="shared" si="50"/>
        <v>#N/A</v>
      </c>
      <c r="M129" s="184"/>
      <c r="N129" s="91"/>
      <c r="O129" s="91"/>
      <c r="P129" s="90">
        <v>0</v>
      </c>
      <c r="Q129" s="87">
        <v>1</v>
      </c>
      <c r="R129" s="185">
        <v>0</v>
      </c>
      <c r="S129" s="185">
        <v>0</v>
      </c>
      <c r="T129" s="185">
        <v>0</v>
      </c>
      <c r="U129" s="185">
        <v>0</v>
      </c>
      <c r="V129" s="182">
        <v>0</v>
      </c>
      <c r="W129" s="182">
        <v>0</v>
      </c>
      <c r="X129" s="182">
        <v>0</v>
      </c>
      <c r="Y129" s="182">
        <v>0</v>
      </c>
      <c r="Z129" s="182">
        <v>0</v>
      </c>
      <c r="AA129" s="182">
        <v>0</v>
      </c>
      <c r="AB129" s="182">
        <v>0</v>
      </c>
      <c r="AC129" s="182">
        <v>0</v>
      </c>
      <c r="AD129" s="182">
        <v>0</v>
      </c>
      <c r="AE129" s="182">
        <v>0</v>
      </c>
      <c r="AF129" s="182">
        <v>0</v>
      </c>
      <c r="AG129" s="182">
        <v>0</v>
      </c>
      <c r="AH129" s="182">
        <v>0</v>
      </c>
      <c r="AI129" s="182">
        <v>0</v>
      </c>
      <c r="AJ129" s="182">
        <v>0</v>
      </c>
      <c r="AL129" s="185">
        <f t="shared" si="52"/>
        <v>1</v>
      </c>
      <c r="AM129" s="185">
        <f t="shared" si="53"/>
        <v>0</v>
      </c>
      <c r="AN129" s="185">
        <f t="shared" si="54"/>
        <v>0</v>
      </c>
      <c r="AO129" s="185">
        <f t="shared" si="55"/>
        <v>0</v>
      </c>
      <c r="AP129" s="185">
        <f t="shared" si="56"/>
        <v>0</v>
      </c>
      <c r="AQ129" s="185">
        <f t="shared" si="57"/>
        <v>0</v>
      </c>
      <c r="AR129" s="185">
        <f t="shared" si="58"/>
        <v>0</v>
      </c>
      <c r="AS129" s="185">
        <f t="shared" si="59"/>
        <v>0</v>
      </c>
      <c r="AT129" s="185">
        <f t="shared" si="60"/>
        <v>0</v>
      </c>
      <c r="AU129" s="185">
        <f t="shared" si="61"/>
        <v>0</v>
      </c>
      <c r="AV129" s="185">
        <f t="shared" si="62"/>
        <v>0</v>
      </c>
      <c r="AW129" s="185">
        <f t="shared" si="63"/>
        <v>0</v>
      </c>
      <c r="AX129" s="185">
        <f t="shared" si="64"/>
        <v>0</v>
      </c>
      <c r="AY129" s="185">
        <f t="shared" si="65"/>
        <v>0</v>
      </c>
      <c r="AZ129" s="185">
        <f t="shared" si="66"/>
        <v>0</v>
      </c>
      <c r="BA129" s="185">
        <f t="shared" si="67"/>
        <v>0</v>
      </c>
      <c r="BB129" s="185">
        <f t="shared" si="68"/>
        <v>0</v>
      </c>
      <c r="BC129" s="185">
        <f t="shared" si="69"/>
        <v>0</v>
      </c>
      <c r="BD129" s="185">
        <f t="shared" si="70"/>
        <v>0</v>
      </c>
      <c r="BE129" s="185">
        <f t="shared" si="71"/>
        <v>0</v>
      </c>
    </row>
    <row r="130" spans="1:57" s="90" customFormat="1" ht="15" hidden="1" customHeight="1" x14ac:dyDescent="0.25">
      <c r="A130" s="187" t="b">
        <v>1</v>
      </c>
      <c r="B130" s="188" t="b">
        <v>1</v>
      </c>
      <c r="C130" s="179" t="e">
        <f t="shared" si="48"/>
        <v>#N/A</v>
      </c>
      <c r="E130" s="180">
        <v>2101</v>
      </c>
      <c r="F130" s="100">
        <f t="shared" si="72"/>
        <v>130</v>
      </c>
      <c r="G130" s="181">
        <f t="shared" si="49"/>
        <v>-63</v>
      </c>
      <c r="H130" s="181" t="e">
        <f t="shared" si="51"/>
        <v>#N/A</v>
      </c>
      <c r="J130" s="182">
        <v>0</v>
      </c>
      <c r="K130" s="101"/>
      <c r="L130" s="183" t="e">
        <f t="shared" si="50"/>
        <v>#N/A</v>
      </c>
      <c r="M130" s="184"/>
      <c r="N130" s="91"/>
      <c r="O130" s="91"/>
      <c r="P130" s="90">
        <v>0</v>
      </c>
      <c r="Q130" s="87">
        <v>1</v>
      </c>
      <c r="R130" s="185">
        <v>0</v>
      </c>
      <c r="S130" s="185">
        <v>0</v>
      </c>
      <c r="T130" s="185">
        <v>0</v>
      </c>
      <c r="U130" s="185">
        <v>0</v>
      </c>
      <c r="V130" s="182">
        <v>0</v>
      </c>
      <c r="W130" s="182">
        <v>0</v>
      </c>
      <c r="X130" s="182">
        <v>0</v>
      </c>
      <c r="Y130" s="182">
        <v>0</v>
      </c>
      <c r="Z130" s="182">
        <v>0</v>
      </c>
      <c r="AA130" s="182">
        <v>0</v>
      </c>
      <c r="AB130" s="182">
        <v>0</v>
      </c>
      <c r="AC130" s="182">
        <v>0</v>
      </c>
      <c r="AD130" s="182">
        <v>0</v>
      </c>
      <c r="AE130" s="182">
        <v>0</v>
      </c>
      <c r="AF130" s="182">
        <v>0</v>
      </c>
      <c r="AG130" s="182">
        <v>0</v>
      </c>
      <c r="AH130" s="182">
        <v>0</v>
      </c>
      <c r="AI130" s="182">
        <v>0</v>
      </c>
      <c r="AJ130" s="182">
        <v>0</v>
      </c>
      <c r="AL130" s="185">
        <f t="shared" si="52"/>
        <v>1</v>
      </c>
      <c r="AM130" s="185">
        <f t="shared" si="53"/>
        <v>0</v>
      </c>
      <c r="AN130" s="185">
        <f t="shared" si="54"/>
        <v>0</v>
      </c>
      <c r="AO130" s="185">
        <f t="shared" si="55"/>
        <v>0</v>
      </c>
      <c r="AP130" s="185">
        <f t="shared" si="56"/>
        <v>0</v>
      </c>
      <c r="AQ130" s="185">
        <f t="shared" si="57"/>
        <v>0</v>
      </c>
      <c r="AR130" s="185">
        <f t="shared" si="58"/>
        <v>0</v>
      </c>
      <c r="AS130" s="185">
        <f t="shared" si="59"/>
        <v>0</v>
      </c>
      <c r="AT130" s="185">
        <f t="shared" si="60"/>
        <v>0</v>
      </c>
      <c r="AU130" s="185">
        <f t="shared" si="61"/>
        <v>0</v>
      </c>
      <c r="AV130" s="185">
        <f t="shared" si="62"/>
        <v>0</v>
      </c>
      <c r="AW130" s="185">
        <f t="shared" si="63"/>
        <v>0</v>
      </c>
      <c r="AX130" s="185">
        <f t="shared" si="64"/>
        <v>0</v>
      </c>
      <c r="AY130" s="185">
        <f t="shared" si="65"/>
        <v>0</v>
      </c>
      <c r="AZ130" s="185">
        <f t="shared" si="66"/>
        <v>0</v>
      </c>
      <c r="BA130" s="185">
        <f t="shared" si="67"/>
        <v>0</v>
      </c>
      <c r="BB130" s="185">
        <f t="shared" si="68"/>
        <v>0</v>
      </c>
      <c r="BC130" s="185">
        <f t="shared" si="69"/>
        <v>0</v>
      </c>
      <c r="BD130" s="185">
        <f t="shared" si="70"/>
        <v>0</v>
      </c>
      <c r="BE130" s="185">
        <f t="shared" si="71"/>
        <v>0</v>
      </c>
    </row>
    <row r="131" spans="1:57" s="90" customFormat="1" ht="15" hidden="1" customHeight="1" x14ac:dyDescent="0.25">
      <c r="A131" s="187" t="b">
        <v>1</v>
      </c>
      <c r="B131" s="188" t="b">
        <v>1</v>
      </c>
      <c r="C131" s="179" t="e">
        <f t="shared" si="48"/>
        <v>#N/A</v>
      </c>
      <c r="E131" s="180">
        <v>2102</v>
      </c>
      <c r="F131" s="100">
        <f t="shared" si="72"/>
        <v>131</v>
      </c>
      <c r="G131" s="181">
        <f t="shared" si="49"/>
        <v>-64</v>
      </c>
      <c r="H131" s="181" t="e">
        <f t="shared" si="51"/>
        <v>#N/A</v>
      </c>
      <c r="J131" s="182">
        <v>0</v>
      </c>
      <c r="K131" s="101"/>
      <c r="L131" s="183" t="e">
        <f t="shared" si="50"/>
        <v>#N/A</v>
      </c>
      <c r="M131" s="184"/>
      <c r="N131" s="91"/>
      <c r="O131" s="91"/>
      <c r="P131" s="90">
        <v>0</v>
      </c>
      <c r="Q131" s="87">
        <v>1</v>
      </c>
      <c r="R131" s="185">
        <v>0</v>
      </c>
      <c r="S131" s="185">
        <v>0</v>
      </c>
      <c r="T131" s="185">
        <v>0</v>
      </c>
      <c r="U131" s="185">
        <v>0</v>
      </c>
      <c r="V131" s="182">
        <v>0</v>
      </c>
      <c r="W131" s="182">
        <v>0</v>
      </c>
      <c r="X131" s="182">
        <v>0</v>
      </c>
      <c r="Y131" s="182">
        <v>0</v>
      </c>
      <c r="Z131" s="182">
        <v>0</v>
      </c>
      <c r="AA131" s="182">
        <v>0</v>
      </c>
      <c r="AB131" s="182">
        <v>0</v>
      </c>
      <c r="AC131" s="182">
        <v>0</v>
      </c>
      <c r="AD131" s="182">
        <v>0</v>
      </c>
      <c r="AE131" s="182">
        <v>0</v>
      </c>
      <c r="AF131" s="182">
        <v>0</v>
      </c>
      <c r="AG131" s="182">
        <v>0</v>
      </c>
      <c r="AH131" s="182">
        <v>0</v>
      </c>
      <c r="AI131" s="182">
        <v>0</v>
      </c>
      <c r="AJ131" s="182">
        <v>0</v>
      </c>
      <c r="AL131" s="185">
        <f t="shared" si="52"/>
        <v>1</v>
      </c>
      <c r="AM131" s="185">
        <f t="shared" si="53"/>
        <v>0</v>
      </c>
      <c r="AN131" s="185">
        <f t="shared" si="54"/>
        <v>0</v>
      </c>
      <c r="AO131" s="185">
        <f t="shared" si="55"/>
        <v>0</v>
      </c>
      <c r="AP131" s="185">
        <f t="shared" si="56"/>
        <v>0</v>
      </c>
      <c r="AQ131" s="185">
        <f t="shared" si="57"/>
        <v>0</v>
      </c>
      <c r="AR131" s="185">
        <f t="shared" si="58"/>
        <v>0</v>
      </c>
      <c r="AS131" s="185">
        <f t="shared" si="59"/>
        <v>0</v>
      </c>
      <c r="AT131" s="185">
        <f t="shared" si="60"/>
        <v>0</v>
      </c>
      <c r="AU131" s="185">
        <f t="shared" si="61"/>
        <v>0</v>
      </c>
      <c r="AV131" s="185">
        <f t="shared" si="62"/>
        <v>0</v>
      </c>
      <c r="AW131" s="185">
        <f t="shared" si="63"/>
        <v>0</v>
      </c>
      <c r="AX131" s="185">
        <f t="shared" si="64"/>
        <v>0</v>
      </c>
      <c r="AY131" s="185">
        <f t="shared" si="65"/>
        <v>0</v>
      </c>
      <c r="AZ131" s="185">
        <f t="shared" si="66"/>
        <v>0</v>
      </c>
      <c r="BA131" s="185">
        <f t="shared" si="67"/>
        <v>0</v>
      </c>
      <c r="BB131" s="185">
        <f t="shared" si="68"/>
        <v>0</v>
      </c>
      <c r="BC131" s="185">
        <f t="shared" si="69"/>
        <v>0</v>
      </c>
      <c r="BD131" s="185">
        <f t="shared" si="70"/>
        <v>0</v>
      </c>
      <c r="BE131" s="185">
        <f t="shared" si="71"/>
        <v>0</v>
      </c>
    </row>
    <row r="132" spans="1:57" s="90" customFormat="1" ht="15" hidden="1" customHeight="1" x14ac:dyDescent="0.25">
      <c r="A132" s="187" t="b">
        <v>1</v>
      </c>
      <c r="B132" s="188" t="b">
        <v>1</v>
      </c>
      <c r="C132" s="179" t="e">
        <f t="shared" si="48"/>
        <v>#N/A</v>
      </c>
      <c r="E132" s="180">
        <v>2103</v>
      </c>
      <c r="F132" s="100">
        <f t="shared" si="72"/>
        <v>132</v>
      </c>
      <c r="G132" s="181">
        <f t="shared" si="49"/>
        <v>-65</v>
      </c>
      <c r="H132" s="181" t="e">
        <f t="shared" si="51"/>
        <v>#N/A</v>
      </c>
      <c r="J132" s="182">
        <v>0</v>
      </c>
      <c r="K132" s="101"/>
      <c r="L132" s="183" t="e">
        <f t="shared" si="50"/>
        <v>#N/A</v>
      </c>
      <c r="M132" s="184"/>
      <c r="N132" s="91"/>
      <c r="O132" s="91"/>
      <c r="P132" s="90">
        <v>0</v>
      </c>
      <c r="Q132" s="87">
        <v>1</v>
      </c>
      <c r="R132" s="185">
        <v>0</v>
      </c>
      <c r="S132" s="185">
        <v>0</v>
      </c>
      <c r="T132" s="185">
        <v>0</v>
      </c>
      <c r="U132" s="185">
        <v>0</v>
      </c>
      <c r="V132" s="182">
        <v>0</v>
      </c>
      <c r="W132" s="182">
        <v>0</v>
      </c>
      <c r="X132" s="182">
        <v>0</v>
      </c>
      <c r="Y132" s="182">
        <v>0</v>
      </c>
      <c r="Z132" s="182">
        <v>0</v>
      </c>
      <c r="AA132" s="182">
        <v>0</v>
      </c>
      <c r="AB132" s="182">
        <v>0</v>
      </c>
      <c r="AC132" s="182">
        <v>0</v>
      </c>
      <c r="AD132" s="182">
        <v>0</v>
      </c>
      <c r="AE132" s="182">
        <v>0</v>
      </c>
      <c r="AF132" s="182">
        <v>0</v>
      </c>
      <c r="AG132" s="182">
        <v>0</v>
      </c>
      <c r="AH132" s="182">
        <v>0</v>
      </c>
      <c r="AI132" s="182">
        <v>0</v>
      </c>
      <c r="AJ132" s="182">
        <v>0</v>
      </c>
      <c r="AL132" s="185">
        <f t="shared" si="52"/>
        <v>1</v>
      </c>
      <c r="AM132" s="185">
        <f t="shared" si="53"/>
        <v>0</v>
      </c>
      <c r="AN132" s="185">
        <f t="shared" si="54"/>
        <v>0</v>
      </c>
      <c r="AO132" s="185">
        <f t="shared" si="55"/>
        <v>0</v>
      </c>
      <c r="AP132" s="185">
        <f t="shared" si="56"/>
        <v>0</v>
      </c>
      <c r="AQ132" s="185">
        <f t="shared" si="57"/>
        <v>0</v>
      </c>
      <c r="AR132" s="185">
        <f t="shared" si="58"/>
        <v>0</v>
      </c>
      <c r="AS132" s="185">
        <f t="shared" si="59"/>
        <v>0</v>
      </c>
      <c r="AT132" s="185">
        <f t="shared" si="60"/>
        <v>0</v>
      </c>
      <c r="AU132" s="185">
        <f t="shared" si="61"/>
        <v>0</v>
      </c>
      <c r="AV132" s="185">
        <f t="shared" si="62"/>
        <v>0</v>
      </c>
      <c r="AW132" s="185">
        <f t="shared" si="63"/>
        <v>0</v>
      </c>
      <c r="AX132" s="185">
        <f t="shared" si="64"/>
        <v>0</v>
      </c>
      <c r="AY132" s="185">
        <f t="shared" si="65"/>
        <v>0</v>
      </c>
      <c r="AZ132" s="185">
        <f t="shared" si="66"/>
        <v>0</v>
      </c>
      <c r="BA132" s="185">
        <f t="shared" si="67"/>
        <v>0</v>
      </c>
      <c r="BB132" s="185">
        <f t="shared" si="68"/>
        <v>0</v>
      </c>
      <c r="BC132" s="185">
        <f t="shared" si="69"/>
        <v>0</v>
      </c>
      <c r="BD132" s="185">
        <f t="shared" si="70"/>
        <v>0</v>
      </c>
      <c r="BE132" s="185">
        <f t="shared" si="71"/>
        <v>0</v>
      </c>
    </row>
    <row r="133" spans="1:57" s="90" customFormat="1" ht="15" hidden="1" customHeight="1" x14ac:dyDescent="0.25">
      <c r="A133" s="187" t="b">
        <v>1</v>
      </c>
      <c r="B133" s="188" t="b">
        <v>1</v>
      </c>
      <c r="C133" s="179" t="e">
        <f t="shared" si="48"/>
        <v>#N/A</v>
      </c>
      <c r="E133" s="180">
        <v>2104</v>
      </c>
      <c r="F133" s="100">
        <f t="shared" si="72"/>
        <v>133</v>
      </c>
      <c r="G133" s="181">
        <f t="shared" si="49"/>
        <v>-66</v>
      </c>
      <c r="H133" s="181" t="e">
        <f t="shared" si="51"/>
        <v>#N/A</v>
      </c>
      <c r="J133" s="182">
        <v>0</v>
      </c>
      <c r="K133" s="101"/>
      <c r="L133" s="183" t="e">
        <f t="shared" si="50"/>
        <v>#N/A</v>
      </c>
      <c r="M133" s="184"/>
      <c r="N133" s="91"/>
      <c r="O133" s="91"/>
      <c r="P133" s="90">
        <v>0</v>
      </c>
      <c r="Q133" s="87">
        <v>1</v>
      </c>
      <c r="R133" s="185">
        <v>0</v>
      </c>
      <c r="S133" s="185">
        <v>0</v>
      </c>
      <c r="T133" s="185">
        <v>0</v>
      </c>
      <c r="U133" s="185">
        <v>0</v>
      </c>
      <c r="V133" s="182">
        <v>0</v>
      </c>
      <c r="W133" s="182">
        <v>0</v>
      </c>
      <c r="X133" s="182">
        <v>0</v>
      </c>
      <c r="Y133" s="182">
        <v>0</v>
      </c>
      <c r="Z133" s="182">
        <v>0</v>
      </c>
      <c r="AA133" s="182">
        <v>0</v>
      </c>
      <c r="AB133" s="182">
        <v>0</v>
      </c>
      <c r="AC133" s="182">
        <v>0</v>
      </c>
      <c r="AD133" s="182">
        <v>0</v>
      </c>
      <c r="AE133" s="182">
        <v>0</v>
      </c>
      <c r="AF133" s="182">
        <v>0</v>
      </c>
      <c r="AG133" s="182">
        <v>0</v>
      </c>
      <c r="AH133" s="182">
        <v>0</v>
      </c>
      <c r="AI133" s="182">
        <v>0</v>
      </c>
      <c r="AJ133" s="182">
        <v>0</v>
      </c>
      <c r="AL133" s="185">
        <f t="shared" si="52"/>
        <v>1</v>
      </c>
      <c r="AM133" s="185">
        <f t="shared" si="53"/>
        <v>0</v>
      </c>
      <c r="AN133" s="185">
        <f t="shared" si="54"/>
        <v>0</v>
      </c>
      <c r="AO133" s="185">
        <f t="shared" si="55"/>
        <v>0</v>
      </c>
      <c r="AP133" s="185">
        <f t="shared" si="56"/>
        <v>0</v>
      </c>
      <c r="AQ133" s="185">
        <f t="shared" si="57"/>
        <v>0</v>
      </c>
      <c r="AR133" s="185">
        <f t="shared" si="58"/>
        <v>0</v>
      </c>
      <c r="AS133" s="185">
        <f t="shared" si="59"/>
        <v>0</v>
      </c>
      <c r="AT133" s="185">
        <f t="shared" si="60"/>
        <v>0</v>
      </c>
      <c r="AU133" s="185">
        <f t="shared" si="61"/>
        <v>0</v>
      </c>
      <c r="AV133" s="185">
        <f t="shared" si="62"/>
        <v>0</v>
      </c>
      <c r="AW133" s="185">
        <f t="shared" si="63"/>
        <v>0</v>
      </c>
      <c r="AX133" s="185">
        <f t="shared" si="64"/>
        <v>0</v>
      </c>
      <c r="AY133" s="185">
        <f t="shared" si="65"/>
        <v>0</v>
      </c>
      <c r="AZ133" s="185">
        <f t="shared" si="66"/>
        <v>0</v>
      </c>
      <c r="BA133" s="185">
        <f t="shared" si="67"/>
        <v>0</v>
      </c>
      <c r="BB133" s="185">
        <f t="shared" si="68"/>
        <v>0</v>
      </c>
      <c r="BC133" s="185">
        <f t="shared" si="69"/>
        <v>0</v>
      </c>
      <c r="BD133" s="185">
        <f t="shared" si="70"/>
        <v>0</v>
      </c>
      <c r="BE133" s="185">
        <f t="shared" si="71"/>
        <v>0</v>
      </c>
    </row>
    <row r="134" spans="1:57" s="90" customFormat="1" ht="15" hidden="1" customHeight="1" x14ac:dyDescent="0.25">
      <c r="A134" s="187" t="b">
        <v>1</v>
      </c>
      <c r="B134" s="188" t="b">
        <v>1</v>
      </c>
      <c r="C134" s="179" t="e">
        <f t="shared" si="48"/>
        <v>#N/A</v>
      </c>
      <c r="E134" s="180">
        <v>2105</v>
      </c>
      <c r="F134" s="100">
        <f t="shared" si="72"/>
        <v>134</v>
      </c>
      <c r="G134" s="181">
        <f t="shared" si="49"/>
        <v>-67</v>
      </c>
      <c r="H134" s="181" t="e">
        <f t="shared" si="51"/>
        <v>#N/A</v>
      </c>
      <c r="J134" s="182">
        <v>0</v>
      </c>
      <c r="K134" s="101"/>
      <c r="L134" s="183" t="e">
        <f t="shared" si="50"/>
        <v>#N/A</v>
      </c>
      <c r="M134" s="184"/>
      <c r="N134" s="91"/>
      <c r="O134" s="91"/>
      <c r="P134" s="90">
        <v>0</v>
      </c>
      <c r="Q134" s="87">
        <v>1</v>
      </c>
      <c r="R134" s="185">
        <v>0</v>
      </c>
      <c r="S134" s="185">
        <v>0</v>
      </c>
      <c r="T134" s="185">
        <v>0</v>
      </c>
      <c r="U134" s="185">
        <v>0</v>
      </c>
      <c r="V134" s="182">
        <v>0</v>
      </c>
      <c r="W134" s="182">
        <v>0</v>
      </c>
      <c r="X134" s="182">
        <v>0</v>
      </c>
      <c r="Y134" s="182">
        <v>0</v>
      </c>
      <c r="Z134" s="182">
        <v>0</v>
      </c>
      <c r="AA134" s="182">
        <v>0</v>
      </c>
      <c r="AB134" s="182">
        <v>0</v>
      </c>
      <c r="AC134" s="182">
        <v>0</v>
      </c>
      <c r="AD134" s="182">
        <v>0</v>
      </c>
      <c r="AE134" s="182">
        <v>0</v>
      </c>
      <c r="AF134" s="182">
        <v>0</v>
      </c>
      <c r="AG134" s="182">
        <v>0</v>
      </c>
      <c r="AH134" s="182">
        <v>0</v>
      </c>
      <c r="AI134" s="182">
        <v>0</v>
      </c>
      <c r="AJ134" s="182">
        <v>0</v>
      </c>
      <c r="AL134" s="185">
        <f t="shared" si="52"/>
        <v>1</v>
      </c>
      <c r="AM134" s="185">
        <f t="shared" si="53"/>
        <v>0</v>
      </c>
      <c r="AN134" s="185">
        <f t="shared" si="54"/>
        <v>0</v>
      </c>
      <c r="AO134" s="185">
        <f t="shared" si="55"/>
        <v>0</v>
      </c>
      <c r="AP134" s="185">
        <f t="shared" si="56"/>
        <v>0</v>
      </c>
      <c r="AQ134" s="185">
        <f t="shared" si="57"/>
        <v>0</v>
      </c>
      <c r="AR134" s="185">
        <f t="shared" si="58"/>
        <v>0</v>
      </c>
      <c r="AS134" s="185">
        <f t="shared" si="59"/>
        <v>0</v>
      </c>
      <c r="AT134" s="185">
        <f t="shared" si="60"/>
        <v>0</v>
      </c>
      <c r="AU134" s="185">
        <f t="shared" si="61"/>
        <v>0</v>
      </c>
      <c r="AV134" s="185">
        <f t="shared" si="62"/>
        <v>0</v>
      </c>
      <c r="AW134" s="185">
        <f t="shared" si="63"/>
        <v>0</v>
      </c>
      <c r="AX134" s="185">
        <f t="shared" si="64"/>
        <v>0</v>
      </c>
      <c r="AY134" s="185">
        <f t="shared" si="65"/>
        <v>0</v>
      </c>
      <c r="AZ134" s="185">
        <f t="shared" si="66"/>
        <v>0</v>
      </c>
      <c r="BA134" s="185">
        <f t="shared" si="67"/>
        <v>0</v>
      </c>
      <c r="BB134" s="185">
        <f t="shared" si="68"/>
        <v>0</v>
      </c>
      <c r="BC134" s="185">
        <f t="shared" si="69"/>
        <v>0</v>
      </c>
      <c r="BD134" s="185">
        <f t="shared" si="70"/>
        <v>0</v>
      </c>
      <c r="BE134" s="185">
        <f t="shared" si="71"/>
        <v>0</v>
      </c>
    </row>
    <row r="135" spans="1:57" s="90" customFormat="1" ht="15" hidden="1" customHeight="1" x14ac:dyDescent="0.25">
      <c r="A135" s="187" t="b">
        <v>1</v>
      </c>
      <c r="B135" s="188" t="b">
        <v>1</v>
      </c>
      <c r="C135" s="179" t="e">
        <f t="shared" si="48"/>
        <v>#N/A</v>
      </c>
      <c r="E135" s="180">
        <v>2106</v>
      </c>
      <c r="F135" s="100">
        <f t="shared" si="72"/>
        <v>135</v>
      </c>
      <c r="G135" s="181">
        <f t="shared" si="49"/>
        <v>-68</v>
      </c>
      <c r="H135" s="181" t="e">
        <f t="shared" si="51"/>
        <v>#N/A</v>
      </c>
      <c r="J135" s="182">
        <v>0</v>
      </c>
      <c r="K135" s="101"/>
      <c r="L135" s="183" t="e">
        <f t="shared" si="50"/>
        <v>#N/A</v>
      </c>
      <c r="M135" s="184"/>
      <c r="N135" s="91"/>
      <c r="O135" s="91"/>
      <c r="P135" s="90">
        <v>0</v>
      </c>
      <c r="Q135" s="87">
        <v>1</v>
      </c>
      <c r="R135" s="185">
        <v>0</v>
      </c>
      <c r="S135" s="185">
        <v>0</v>
      </c>
      <c r="T135" s="185">
        <v>0</v>
      </c>
      <c r="U135" s="185">
        <v>0</v>
      </c>
      <c r="V135" s="182">
        <v>0</v>
      </c>
      <c r="W135" s="182">
        <v>0</v>
      </c>
      <c r="X135" s="182">
        <v>0</v>
      </c>
      <c r="Y135" s="182">
        <v>0</v>
      </c>
      <c r="Z135" s="182">
        <v>0</v>
      </c>
      <c r="AA135" s="182">
        <v>0</v>
      </c>
      <c r="AB135" s="182">
        <v>0</v>
      </c>
      <c r="AC135" s="182">
        <v>0</v>
      </c>
      <c r="AD135" s="182">
        <v>0</v>
      </c>
      <c r="AE135" s="182">
        <v>0</v>
      </c>
      <c r="AF135" s="182">
        <v>0</v>
      </c>
      <c r="AG135" s="182">
        <v>0</v>
      </c>
      <c r="AH135" s="182">
        <v>0</v>
      </c>
      <c r="AI135" s="182">
        <v>0</v>
      </c>
      <c r="AJ135" s="182">
        <v>0</v>
      </c>
      <c r="AL135" s="185">
        <f t="shared" si="52"/>
        <v>1</v>
      </c>
      <c r="AM135" s="185">
        <f t="shared" si="53"/>
        <v>0</v>
      </c>
      <c r="AN135" s="185">
        <f t="shared" si="54"/>
        <v>0</v>
      </c>
      <c r="AO135" s="185">
        <f t="shared" si="55"/>
        <v>0</v>
      </c>
      <c r="AP135" s="185">
        <f t="shared" si="56"/>
        <v>0</v>
      </c>
      <c r="AQ135" s="185">
        <f t="shared" si="57"/>
        <v>0</v>
      </c>
      <c r="AR135" s="185">
        <f t="shared" si="58"/>
        <v>0</v>
      </c>
      <c r="AS135" s="185">
        <f t="shared" si="59"/>
        <v>0</v>
      </c>
      <c r="AT135" s="185">
        <f t="shared" si="60"/>
        <v>0</v>
      </c>
      <c r="AU135" s="185">
        <f t="shared" si="61"/>
        <v>0</v>
      </c>
      <c r="AV135" s="185">
        <f t="shared" si="62"/>
        <v>0</v>
      </c>
      <c r="AW135" s="185">
        <f t="shared" si="63"/>
        <v>0</v>
      </c>
      <c r="AX135" s="185">
        <f t="shared" si="64"/>
        <v>0</v>
      </c>
      <c r="AY135" s="185">
        <f t="shared" si="65"/>
        <v>0</v>
      </c>
      <c r="AZ135" s="185">
        <f t="shared" si="66"/>
        <v>0</v>
      </c>
      <c r="BA135" s="185">
        <f t="shared" si="67"/>
        <v>0</v>
      </c>
      <c r="BB135" s="185">
        <f t="shared" si="68"/>
        <v>0</v>
      </c>
      <c r="BC135" s="185">
        <f t="shared" si="69"/>
        <v>0</v>
      </c>
      <c r="BD135" s="185">
        <f t="shared" si="70"/>
        <v>0</v>
      </c>
      <c r="BE135" s="185">
        <f t="shared" si="71"/>
        <v>0</v>
      </c>
    </row>
    <row r="136" spans="1:57" s="90" customFormat="1" ht="15" hidden="1" customHeight="1" x14ac:dyDescent="0.25">
      <c r="A136" s="187" t="b">
        <v>1</v>
      </c>
      <c r="B136" s="188" t="b">
        <v>1</v>
      </c>
      <c r="C136" s="179" t="e">
        <f t="shared" si="48"/>
        <v>#N/A</v>
      </c>
      <c r="E136" s="180">
        <v>2107</v>
      </c>
      <c r="F136" s="100">
        <f t="shared" si="72"/>
        <v>136</v>
      </c>
      <c r="G136" s="181">
        <f t="shared" si="49"/>
        <v>-69</v>
      </c>
      <c r="H136" s="181" t="e">
        <f t="shared" si="51"/>
        <v>#N/A</v>
      </c>
      <c r="J136" s="182">
        <v>0</v>
      </c>
      <c r="K136" s="101"/>
      <c r="L136" s="183" t="e">
        <f t="shared" si="50"/>
        <v>#N/A</v>
      </c>
      <c r="M136" s="184"/>
      <c r="N136" s="91"/>
      <c r="O136" s="91"/>
      <c r="P136" s="90">
        <v>0</v>
      </c>
      <c r="Q136" s="87">
        <v>1</v>
      </c>
      <c r="R136" s="185">
        <v>0</v>
      </c>
      <c r="S136" s="185">
        <v>0</v>
      </c>
      <c r="T136" s="185">
        <v>0</v>
      </c>
      <c r="U136" s="185">
        <v>0</v>
      </c>
      <c r="V136" s="182">
        <v>0</v>
      </c>
      <c r="W136" s="182">
        <v>0</v>
      </c>
      <c r="X136" s="182">
        <v>0</v>
      </c>
      <c r="Y136" s="182">
        <v>0</v>
      </c>
      <c r="Z136" s="182">
        <v>0</v>
      </c>
      <c r="AA136" s="182">
        <v>0</v>
      </c>
      <c r="AB136" s="182">
        <v>0</v>
      </c>
      <c r="AC136" s="182">
        <v>0</v>
      </c>
      <c r="AD136" s="182">
        <v>0</v>
      </c>
      <c r="AE136" s="182">
        <v>0</v>
      </c>
      <c r="AF136" s="182">
        <v>0</v>
      </c>
      <c r="AG136" s="182">
        <v>0</v>
      </c>
      <c r="AH136" s="182">
        <v>0</v>
      </c>
      <c r="AI136" s="182">
        <v>0</v>
      </c>
      <c r="AJ136" s="182">
        <v>0</v>
      </c>
      <c r="AL136" s="185">
        <f t="shared" si="52"/>
        <v>1</v>
      </c>
      <c r="AM136" s="185">
        <f t="shared" si="53"/>
        <v>0</v>
      </c>
      <c r="AN136" s="185">
        <f t="shared" si="54"/>
        <v>0</v>
      </c>
      <c r="AO136" s="185">
        <f t="shared" si="55"/>
        <v>0</v>
      </c>
      <c r="AP136" s="185">
        <f t="shared" si="56"/>
        <v>0</v>
      </c>
      <c r="AQ136" s="185">
        <f t="shared" si="57"/>
        <v>0</v>
      </c>
      <c r="AR136" s="185">
        <f t="shared" si="58"/>
        <v>0</v>
      </c>
      <c r="AS136" s="185">
        <f t="shared" si="59"/>
        <v>0</v>
      </c>
      <c r="AT136" s="185">
        <f t="shared" si="60"/>
        <v>0</v>
      </c>
      <c r="AU136" s="185">
        <f t="shared" si="61"/>
        <v>0</v>
      </c>
      <c r="AV136" s="185">
        <f t="shared" si="62"/>
        <v>0</v>
      </c>
      <c r="AW136" s="185">
        <f t="shared" si="63"/>
        <v>0</v>
      </c>
      <c r="AX136" s="185">
        <f t="shared" si="64"/>
        <v>0</v>
      </c>
      <c r="AY136" s="185">
        <f t="shared" si="65"/>
        <v>0</v>
      </c>
      <c r="AZ136" s="185">
        <f t="shared" si="66"/>
        <v>0</v>
      </c>
      <c r="BA136" s="185">
        <f t="shared" si="67"/>
        <v>0</v>
      </c>
      <c r="BB136" s="185">
        <f t="shared" si="68"/>
        <v>0</v>
      </c>
      <c r="BC136" s="185">
        <f t="shared" si="69"/>
        <v>0</v>
      </c>
      <c r="BD136" s="185">
        <f t="shared" si="70"/>
        <v>0</v>
      </c>
      <c r="BE136" s="185">
        <f t="shared" si="71"/>
        <v>0</v>
      </c>
    </row>
    <row r="137" spans="1:57" s="90" customFormat="1" ht="15" hidden="1" customHeight="1" x14ac:dyDescent="0.25">
      <c r="A137" s="187" t="b">
        <v>1</v>
      </c>
      <c r="B137" s="188" t="b">
        <v>1</v>
      </c>
      <c r="C137" s="179" t="e">
        <f t="shared" si="48"/>
        <v>#N/A</v>
      </c>
      <c r="E137" s="180">
        <v>2108</v>
      </c>
      <c r="F137" s="100">
        <f t="shared" si="72"/>
        <v>137</v>
      </c>
      <c r="G137" s="181">
        <f t="shared" si="49"/>
        <v>-70</v>
      </c>
      <c r="H137" s="181" t="e">
        <f t="shared" si="51"/>
        <v>#N/A</v>
      </c>
      <c r="J137" s="182">
        <v>0</v>
      </c>
      <c r="K137" s="101"/>
      <c r="L137" s="183" t="e">
        <f t="shared" si="50"/>
        <v>#N/A</v>
      </c>
      <c r="M137" s="184"/>
      <c r="N137" s="91"/>
      <c r="O137" s="91"/>
      <c r="P137" s="90">
        <v>0</v>
      </c>
      <c r="Q137" s="87">
        <v>1</v>
      </c>
      <c r="R137" s="185">
        <v>0</v>
      </c>
      <c r="S137" s="185">
        <v>0</v>
      </c>
      <c r="T137" s="185">
        <v>0</v>
      </c>
      <c r="U137" s="185">
        <v>0</v>
      </c>
      <c r="V137" s="182">
        <v>0</v>
      </c>
      <c r="W137" s="182">
        <v>0</v>
      </c>
      <c r="X137" s="182">
        <v>0</v>
      </c>
      <c r="Y137" s="182">
        <v>0</v>
      </c>
      <c r="Z137" s="182">
        <v>0</v>
      </c>
      <c r="AA137" s="182">
        <v>0</v>
      </c>
      <c r="AB137" s="182">
        <v>0</v>
      </c>
      <c r="AC137" s="182">
        <v>0</v>
      </c>
      <c r="AD137" s="182">
        <v>0</v>
      </c>
      <c r="AE137" s="182">
        <v>0</v>
      </c>
      <c r="AF137" s="182">
        <v>0</v>
      </c>
      <c r="AG137" s="182">
        <v>0</v>
      </c>
      <c r="AH137" s="182">
        <v>0</v>
      </c>
      <c r="AI137" s="182">
        <v>0</v>
      </c>
      <c r="AJ137" s="182">
        <v>0</v>
      </c>
      <c r="AL137" s="185">
        <f t="shared" si="52"/>
        <v>1</v>
      </c>
      <c r="AM137" s="185">
        <f t="shared" si="53"/>
        <v>0</v>
      </c>
      <c r="AN137" s="185">
        <f t="shared" si="54"/>
        <v>0</v>
      </c>
      <c r="AO137" s="185">
        <f t="shared" si="55"/>
        <v>0</v>
      </c>
      <c r="AP137" s="185">
        <f t="shared" si="56"/>
        <v>0</v>
      </c>
      <c r="AQ137" s="185">
        <f t="shared" si="57"/>
        <v>0</v>
      </c>
      <c r="AR137" s="185">
        <f t="shared" si="58"/>
        <v>0</v>
      </c>
      <c r="AS137" s="185">
        <f t="shared" si="59"/>
        <v>0</v>
      </c>
      <c r="AT137" s="185">
        <f t="shared" si="60"/>
        <v>0</v>
      </c>
      <c r="AU137" s="185">
        <f t="shared" si="61"/>
        <v>0</v>
      </c>
      <c r="AV137" s="185">
        <f t="shared" si="62"/>
        <v>0</v>
      </c>
      <c r="AW137" s="185">
        <f t="shared" si="63"/>
        <v>0</v>
      </c>
      <c r="AX137" s="185">
        <f t="shared" si="64"/>
        <v>0</v>
      </c>
      <c r="AY137" s="185">
        <f t="shared" si="65"/>
        <v>0</v>
      </c>
      <c r="AZ137" s="185">
        <f t="shared" si="66"/>
        <v>0</v>
      </c>
      <c r="BA137" s="185">
        <f t="shared" si="67"/>
        <v>0</v>
      </c>
      <c r="BB137" s="185">
        <f t="shared" si="68"/>
        <v>0</v>
      </c>
      <c r="BC137" s="185">
        <f t="shared" si="69"/>
        <v>0</v>
      </c>
      <c r="BD137" s="185">
        <f t="shared" si="70"/>
        <v>0</v>
      </c>
      <c r="BE137" s="185">
        <f t="shared" si="71"/>
        <v>0</v>
      </c>
    </row>
    <row r="138" spans="1:57" s="90" customFormat="1" ht="15" hidden="1" customHeight="1" x14ac:dyDescent="0.25">
      <c r="A138" s="187" t="b">
        <v>1</v>
      </c>
      <c r="B138" s="188" t="b">
        <v>1</v>
      </c>
      <c r="C138" s="179" t="e">
        <f t="shared" si="48"/>
        <v>#N/A</v>
      </c>
      <c r="E138" s="180">
        <v>2109</v>
      </c>
      <c r="F138" s="100">
        <f t="shared" si="72"/>
        <v>138</v>
      </c>
      <c r="G138" s="181">
        <f t="shared" si="49"/>
        <v>-71</v>
      </c>
      <c r="H138" s="181" t="e">
        <f t="shared" si="51"/>
        <v>#N/A</v>
      </c>
      <c r="J138" s="182">
        <v>0</v>
      </c>
      <c r="K138" s="101"/>
      <c r="L138" s="183" t="e">
        <f t="shared" si="50"/>
        <v>#N/A</v>
      </c>
      <c r="M138" s="184"/>
      <c r="N138" s="91"/>
      <c r="O138" s="91"/>
      <c r="P138" s="90">
        <v>0</v>
      </c>
      <c r="Q138" s="87">
        <v>1</v>
      </c>
      <c r="R138" s="185">
        <v>0</v>
      </c>
      <c r="S138" s="185">
        <v>0</v>
      </c>
      <c r="T138" s="185">
        <v>0</v>
      </c>
      <c r="U138" s="185">
        <v>0</v>
      </c>
      <c r="V138" s="182">
        <v>0</v>
      </c>
      <c r="W138" s="182">
        <v>0</v>
      </c>
      <c r="X138" s="182">
        <v>0</v>
      </c>
      <c r="Y138" s="182">
        <v>0</v>
      </c>
      <c r="Z138" s="182">
        <v>0</v>
      </c>
      <c r="AA138" s="182">
        <v>0</v>
      </c>
      <c r="AB138" s="182">
        <v>0</v>
      </c>
      <c r="AC138" s="182">
        <v>0</v>
      </c>
      <c r="AD138" s="182">
        <v>0</v>
      </c>
      <c r="AE138" s="182">
        <v>0</v>
      </c>
      <c r="AF138" s="182">
        <v>0</v>
      </c>
      <c r="AG138" s="182">
        <v>0</v>
      </c>
      <c r="AH138" s="182">
        <v>0</v>
      </c>
      <c r="AI138" s="182">
        <v>0</v>
      </c>
      <c r="AJ138" s="182">
        <v>0</v>
      </c>
      <c r="AL138" s="185">
        <f t="shared" si="52"/>
        <v>1</v>
      </c>
      <c r="AM138" s="185">
        <f t="shared" si="53"/>
        <v>0</v>
      </c>
      <c r="AN138" s="185">
        <f t="shared" si="54"/>
        <v>0</v>
      </c>
      <c r="AO138" s="185">
        <f t="shared" si="55"/>
        <v>0</v>
      </c>
      <c r="AP138" s="185">
        <f t="shared" si="56"/>
        <v>0</v>
      </c>
      <c r="AQ138" s="185">
        <f t="shared" si="57"/>
        <v>0</v>
      </c>
      <c r="AR138" s="185">
        <f t="shared" si="58"/>
        <v>0</v>
      </c>
      <c r="AS138" s="185">
        <f t="shared" si="59"/>
        <v>0</v>
      </c>
      <c r="AT138" s="185">
        <f t="shared" si="60"/>
        <v>0</v>
      </c>
      <c r="AU138" s="185">
        <f t="shared" si="61"/>
        <v>0</v>
      </c>
      <c r="AV138" s="185">
        <f t="shared" si="62"/>
        <v>0</v>
      </c>
      <c r="AW138" s="185">
        <f t="shared" si="63"/>
        <v>0</v>
      </c>
      <c r="AX138" s="185">
        <f t="shared" si="64"/>
        <v>0</v>
      </c>
      <c r="AY138" s="185">
        <f t="shared" si="65"/>
        <v>0</v>
      </c>
      <c r="AZ138" s="185">
        <f t="shared" si="66"/>
        <v>0</v>
      </c>
      <c r="BA138" s="185">
        <f t="shared" si="67"/>
        <v>0</v>
      </c>
      <c r="BB138" s="185">
        <f t="shared" si="68"/>
        <v>0</v>
      </c>
      <c r="BC138" s="185">
        <f t="shared" si="69"/>
        <v>0</v>
      </c>
      <c r="BD138" s="185">
        <f t="shared" si="70"/>
        <v>0</v>
      </c>
      <c r="BE138" s="185">
        <f t="shared" si="71"/>
        <v>0</v>
      </c>
    </row>
    <row r="139" spans="1:57" s="90" customFormat="1" ht="15" hidden="1" customHeight="1" x14ac:dyDescent="0.25">
      <c r="A139" s="187" t="b">
        <v>1</v>
      </c>
      <c r="B139" s="188" t="b">
        <v>1</v>
      </c>
      <c r="C139" s="179" t="e">
        <f t="shared" si="48"/>
        <v>#N/A</v>
      </c>
      <c r="E139" s="180">
        <v>2110</v>
      </c>
      <c r="F139" s="100">
        <f t="shared" si="72"/>
        <v>139</v>
      </c>
      <c r="G139" s="181">
        <f t="shared" si="49"/>
        <v>-72</v>
      </c>
      <c r="H139" s="181" t="e">
        <f t="shared" si="51"/>
        <v>#N/A</v>
      </c>
      <c r="J139" s="182">
        <v>0</v>
      </c>
      <c r="K139" s="101"/>
      <c r="L139" s="183" t="e">
        <f t="shared" si="50"/>
        <v>#N/A</v>
      </c>
      <c r="M139" s="184"/>
      <c r="N139" s="91"/>
      <c r="O139" s="91"/>
      <c r="P139" s="90">
        <v>0</v>
      </c>
      <c r="Q139" s="87">
        <v>1</v>
      </c>
      <c r="R139" s="185">
        <v>0</v>
      </c>
      <c r="S139" s="185">
        <v>0</v>
      </c>
      <c r="T139" s="185">
        <v>0</v>
      </c>
      <c r="U139" s="185">
        <v>0</v>
      </c>
      <c r="V139" s="182">
        <v>0</v>
      </c>
      <c r="W139" s="182">
        <v>0</v>
      </c>
      <c r="X139" s="182">
        <v>0</v>
      </c>
      <c r="Y139" s="182">
        <v>0</v>
      </c>
      <c r="Z139" s="182">
        <v>0</v>
      </c>
      <c r="AA139" s="182">
        <v>0</v>
      </c>
      <c r="AB139" s="182">
        <v>0</v>
      </c>
      <c r="AC139" s="182">
        <v>0</v>
      </c>
      <c r="AD139" s="182">
        <v>0</v>
      </c>
      <c r="AE139" s="182">
        <v>0</v>
      </c>
      <c r="AF139" s="182">
        <v>0</v>
      </c>
      <c r="AG139" s="182">
        <v>0</v>
      </c>
      <c r="AH139" s="182">
        <v>0</v>
      </c>
      <c r="AI139" s="182">
        <v>0</v>
      </c>
      <c r="AJ139" s="182">
        <v>0</v>
      </c>
      <c r="AL139" s="185">
        <f t="shared" si="52"/>
        <v>1</v>
      </c>
      <c r="AM139" s="185">
        <f t="shared" si="53"/>
        <v>0</v>
      </c>
      <c r="AN139" s="185">
        <f t="shared" si="54"/>
        <v>0</v>
      </c>
      <c r="AO139" s="185">
        <f t="shared" si="55"/>
        <v>0</v>
      </c>
      <c r="AP139" s="185">
        <f t="shared" si="56"/>
        <v>0</v>
      </c>
      <c r="AQ139" s="185">
        <f t="shared" si="57"/>
        <v>0</v>
      </c>
      <c r="AR139" s="185">
        <f t="shared" si="58"/>
        <v>0</v>
      </c>
      <c r="AS139" s="185">
        <f t="shared" si="59"/>
        <v>0</v>
      </c>
      <c r="AT139" s="185">
        <f t="shared" si="60"/>
        <v>0</v>
      </c>
      <c r="AU139" s="185">
        <f t="shared" si="61"/>
        <v>0</v>
      </c>
      <c r="AV139" s="185">
        <f t="shared" si="62"/>
        <v>0</v>
      </c>
      <c r="AW139" s="185">
        <f t="shared" si="63"/>
        <v>0</v>
      </c>
      <c r="AX139" s="185">
        <f t="shared" si="64"/>
        <v>0</v>
      </c>
      <c r="AY139" s="185">
        <f t="shared" si="65"/>
        <v>0</v>
      </c>
      <c r="AZ139" s="185">
        <f t="shared" si="66"/>
        <v>0</v>
      </c>
      <c r="BA139" s="185">
        <f t="shared" si="67"/>
        <v>0</v>
      </c>
      <c r="BB139" s="185">
        <f t="shared" si="68"/>
        <v>0</v>
      </c>
      <c r="BC139" s="185">
        <f t="shared" si="69"/>
        <v>0</v>
      </c>
      <c r="BD139" s="185">
        <f t="shared" si="70"/>
        <v>0</v>
      </c>
      <c r="BE139" s="185">
        <f t="shared" si="71"/>
        <v>0</v>
      </c>
    </row>
    <row r="140" spans="1:57" s="90" customFormat="1" ht="15" hidden="1" customHeight="1" x14ac:dyDescent="0.25">
      <c r="A140" s="187" t="b">
        <v>1</v>
      </c>
      <c r="B140" s="188" t="b">
        <v>1</v>
      </c>
      <c r="C140" s="179" t="e">
        <f t="shared" si="48"/>
        <v>#N/A</v>
      </c>
      <c r="E140" s="180">
        <v>2111</v>
      </c>
      <c r="F140" s="100">
        <f t="shared" si="72"/>
        <v>140</v>
      </c>
      <c r="G140" s="181">
        <f t="shared" si="49"/>
        <v>-73</v>
      </c>
      <c r="H140" s="181" t="e">
        <f t="shared" si="51"/>
        <v>#N/A</v>
      </c>
      <c r="J140" s="182">
        <v>0</v>
      </c>
      <c r="K140" s="101"/>
      <c r="L140" s="183" t="e">
        <f t="shared" si="50"/>
        <v>#N/A</v>
      </c>
      <c r="M140" s="184"/>
      <c r="N140" s="91"/>
      <c r="O140" s="91"/>
      <c r="P140" s="90">
        <v>0</v>
      </c>
      <c r="Q140" s="87">
        <v>1</v>
      </c>
      <c r="R140" s="185">
        <v>0</v>
      </c>
      <c r="S140" s="185">
        <v>0</v>
      </c>
      <c r="T140" s="185">
        <v>0</v>
      </c>
      <c r="U140" s="185">
        <v>0</v>
      </c>
      <c r="V140" s="182">
        <v>0</v>
      </c>
      <c r="W140" s="182">
        <v>0</v>
      </c>
      <c r="X140" s="182">
        <v>0</v>
      </c>
      <c r="Y140" s="182">
        <v>0</v>
      </c>
      <c r="Z140" s="182">
        <v>0</v>
      </c>
      <c r="AA140" s="182">
        <v>0</v>
      </c>
      <c r="AB140" s="182">
        <v>0</v>
      </c>
      <c r="AC140" s="182">
        <v>0</v>
      </c>
      <c r="AD140" s="182">
        <v>0</v>
      </c>
      <c r="AE140" s="182">
        <v>0</v>
      </c>
      <c r="AF140" s="182">
        <v>0</v>
      </c>
      <c r="AG140" s="182">
        <v>0</v>
      </c>
      <c r="AH140" s="182">
        <v>0</v>
      </c>
      <c r="AI140" s="182">
        <v>0</v>
      </c>
      <c r="AJ140" s="182">
        <v>0</v>
      </c>
      <c r="AL140" s="185">
        <f t="shared" si="52"/>
        <v>1</v>
      </c>
      <c r="AM140" s="185">
        <f t="shared" si="53"/>
        <v>0</v>
      </c>
      <c r="AN140" s="185">
        <f t="shared" si="54"/>
        <v>0</v>
      </c>
      <c r="AO140" s="185">
        <f t="shared" si="55"/>
        <v>0</v>
      </c>
      <c r="AP140" s="185">
        <f t="shared" si="56"/>
        <v>0</v>
      </c>
      <c r="AQ140" s="185">
        <f t="shared" si="57"/>
        <v>0</v>
      </c>
      <c r="AR140" s="185">
        <f t="shared" si="58"/>
        <v>0</v>
      </c>
      <c r="AS140" s="185">
        <f t="shared" si="59"/>
        <v>0</v>
      </c>
      <c r="AT140" s="185">
        <f t="shared" si="60"/>
        <v>0</v>
      </c>
      <c r="AU140" s="185">
        <f t="shared" si="61"/>
        <v>0</v>
      </c>
      <c r="AV140" s="185">
        <f t="shared" si="62"/>
        <v>0</v>
      </c>
      <c r="AW140" s="185">
        <f t="shared" si="63"/>
        <v>0</v>
      </c>
      <c r="AX140" s="185">
        <f t="shared" si="64"/>
        <v>0</v>
      </c>
      <c r="AY140" s="185">
        <f t="shared" si="65"/>
        <v>0</v>
      </c>
      <c r="AZ140" s="185">
        <f t="shared" si="66"/>
        <v>0</v>
      </c>
      <c r="BA140" s="185">
        <f t="shared" si="67"/>
        <v>0</v>
      </c>
      <c r="BB140" s="185">
        <f t="shared" si="68"/>
        <v>0</v>
      </c>
      <c r="BC140" s="185">
        <f t="shared" si="69"/>
        <v>0</v>
      </c>
      <c r="BD140" s="185">
        <f t="shared" si="70"/>
        <v>0</v>
      </c>
      <c r="BE140" s="185">
        <f t="shared" si="71"/>
        <v>0</v>
      </c>
    </row>
    <row r="141" spans="1:57" s="90" customFormat="1" ht="15" hidden="1" customHeight="1" x14ac:dyDescent="0.25">
      <c r="A141" s="187" t="b">
        <v>1</v>
      </c>
      <c r="B141" s="188" t="b">
        <v>1</v>
      </c>
      <c r="C141" s="179" t="e">
        <f t="shared" si="48"/>
        <v>#N/A</v>
      </c>
      <c r="E141" s="180">
        <v>2112</v>
      </c>
      <c r="F141" s="100">
        <f t="shared" si="72"/>
        <v>141</v>
      </c>
      <c r="G141" s="181">
        <f t="shared" si="49"/>
        <v>-74</v>
      </c>
      <c r="H141" s="181" t="e">
        <f t="shared" si="51"/>
        <v>#N/A</v>
      </c>
      <c r="J141" s="182">
        <v>0</v>
      </c>
      <c r="K141" s="101"/>
      <c r="L141" s="183" t="e">
        <f t="shared" si="50"/>
        <v>#N/A</v>
      </c>
      <c r="M141" s="184"/>
      <c r="N141" s="91"/>
      <c r="O141" s="91"/>
      <c r="P141" s="90">
        <v>0</v>
      </c>
      <c r="Q141" s="87">
        <v>1</v>
      </c>
      <c r="R141" s="185">
        <v>0</v>
      </c>
      <c r="S141" s="185">
        <v>0</v>
      </c>
      <c r="T141" s="185">
        <v>0</v>
      </c>
      <c r="U141" s="185">
        <v>0</v>
      </c>
      <c r="V141" s="182">
        <v>0</v>
      </c>
      <c r="W141" s="182">
        <v>0</v>
      </c>
      <c r="X141" s="182">
        <v>0</v>
      </c>
      <c r="Y141" s="182">
        <v>0</v>
      </c>
      <c r="Z141" s="182">
        <v>0</v>
      </c>
      <c r="AA141" s="182">
        <v>0</v>
      </c>
      <c r="AB141" s="182">
        <v>0</v>
      </c>
      <c r="AC141" s="182">
        <v>0</v>
      </c>
      <c r="AD141" s="182">
        <v>0</v>
      </c>
      <c r="AE141" s="182">
        <v>0</v>
      </c>
      <c r="AF141" s="182">
        <v>0</v>
      </c>
      <c r="AG141" s="182">
        <v>0</v>
      </c>
      <c r="AH141" s="182">
        <v>0</v>
      </c>
      <c r="AI141" s="182">
        <v>0</v>
      </c>
      <c r="AJ141" s="182">
        <v>0</v>
      </c>
      <c r="AL141" s="185">
        <f t="shared" si="52"/>
        <v>1</v>
      </c>
      <c r="AM141" s="185">
        <f t="shared" si="53"/>
        <v>0</v>
      </c>
      <c r="AN141" s="185">
        <f t="shared" si="54"/>
        <v>0</v>
      </c>
      <c r="AO141" s="185">
        <f t="shared" si="55"/>
        <v>0</v>
      </c>
      <c r="AP141" s="185">
        <f t="shared" si="56"/>
        <v>0</v>
      </c>
      <c r="AQ141" s="185">
        <f t="shared" si="57"/>
        <v>0</v>
      </c>
      <c r="AR141" s="185">
        <f t="shared" si="58"/>
        <v>0</v>
      </c>
      <c r="AS141" s="185">
        <f t="shared" si="59"/>
        <v>0</v>
      </c>
      <c r="AT141" s="185">
        <f t="shared" si="60"/>
        <v>0</v>
      </c>
      <c r="AU141" s="185">
        <f t="shared" si="61"/>
        <v>0</v>
      </c>
      <c r="AV141" s="185">
        <f t="shared" si="62"/>
        <v>0</v>
      </c>
      <c r="AW141" s="185">
        <f t="shared" si="63"/>
        <v>0</v>
      </c>
      <c r="AX141" s="185">
        <f t="shared" si="64"/>
        <v>0</v>
      </c>
      <c r="AY141" s="185">
        <f t="shared" si="65"/>
        <v>0</v>
      </c>
      <c r="AZ141" s="185">
        <f t="shared" si="66"/>
        <v>0</v>
      </c>
      <c r="BA141" s="185">
        <f t="shared" si="67"/>
        <v>0</v>
      </c>
      <c r="BB141" s="185">
        <f t="shared" si="68"/>
        <v>0</v>
      </c>
      <c r="BC141" s="185">
        <f t="shared" si="69"/>
        <v>0</v>
      </c>
      <c r="BD141" s="185">
        <f t="shared" si="70"/>
        <v>0</v>
      </c>
      <c r="BE141" s="185">
        <f t="shared" si="71"/>
        <v>0</v>
      </c>
    </row>
    <row r="142" spans="1:57" s="90" customFormat="1" ht="15" hidden="1" customHeight="1" x14ac:dyDescent="0.25">
      <c r="A142" s="187" t="b">
        <v>1</v>
      </c>
      <c r="B142" s="188" t="b">
        <v>1</v>
      </c>
      <c r="C142" s="179" t="e">
        <f t="shared" si="48"/>
        <v>#N/A</v>
      </c>
      <c r="E142" s="180">
        <v>2113</v>
      </c>
      <c r="F142" s="100">
        <f t="shared" si="72"/>
        <v>142</v>
      </c>
      <c r="G142" s="181">
        <f t="shared" si="49"/>
        <v>-75</v>
      </c>
      <c r="H142" s="181" t="e">
        <f t="shared" si="51"/>
        <v>#N/A</v>
      </c>
      <c r="J142" s="182">
        <v>0</v>
      </c>
      <c r="K142" s="101"/>
      <c r="L142" s="183" t="e">
        <f t="shared" si="50"/>
        <v>#N/A</v>
      </c>
      <c r="M142" s="184"/>
      <c r="N142" s="91"/>
      <c r="O142" s="91"/>
      <c r="P142" s="90">
        <v>0</v>
      </c>
      <c r="Q142" s="87">
        <v>1</v>
      </c>
      <c r="R142" s="185">
        <v>0</v>
      </c>
      <c r="S142" s="185">
        <v>0</v>
      </c>
      <c r="T142" s="185">
        <v>0</v>
      </c>
      <c r="U142" s="185">
        <v>0</v>
      </c>
      <c r="V142" s="182">
        <v>0</v>
      </c>
      <c r="W142" s="182">
        <v>0</v>
      </c>
      <c r="X142" s="182">
        <v>0</v>
      </c>
      <c r="Y142" s="182">
        <v>0</v>
      </c>
      <c r="Z142" s="182">
        <v>0</v>
      </c>
      <c r="AA142" s="182">
        <v>0</v>
      </c>
      <c r="AB142" s="182">
        <v>0</v>
      </c>
      <c r="AC142" s="182">
        <v>0</v>
      </c>
      <c r="AD142" s="182">
        <v>0</v>
      </c>
      <c r="AE142" s="182">
        <v>0</v>
      </c>
      <c r="AF142" s="182">
        <v>0</v>
      </c>
      <c r="AG142" s="182">
        <v>0</v>
      </c>
      <c r="AH142" s="182">
        <v>0</v>
      </c>
      <c r="AI142" s="182">
        <v>0</v>
      </c>
      <c r="AJ142" s="182">
        <v>0</v>
      </c>
      <c r="AL142" s="185">
        <f t="shared" si="52"/>
        <v>1</v>
      </c>
      <c r="AM142" s="185">
        <f t="shared" si="53"/>
        <v>0</v>
      </c>
      <c r="AN142" s="185">
        <f t="shared" si="54"/>
        <v>0</v>
      </c>
      <c r="AO142" s="185">
        <f t="shared" si="55"/>
        <v>0</v>
      </c>
      <c r="AP142" s="185">
        <f t="shared" si="56"/>
        <v>0</v>
      </c>
      <c r="AQ142" s="185">
        <f t="shared" si="57"/>
        <v>0</v>
      </c>
      <c r="AR142" s="185">
        <f t="shared" si="58"/>
        <v>0</v>
      </c>
      <c r="AS142" s="185">
        <f t="shared" si="59"/>
        <v>0</v>
      </c>
      <c r="AT142" s="185">
        <f t="shared" si="60"/>
        <v>0</v>
      </c>
      <c r="AU142" s="185">
        <f t="shared" si="61"/>
        <v>0</v>
      </c>
      <c r="AV142" s="185">
        <f t="shared" si="62"/>
        <v>0</v>
      </c>
      <c r="AW142" s="185">
        <f t="shared" si="63"/>
        <v>0</v>
      </c>
      <c r="AX142" s="185">
        <f t="shared" si="64"/>
        <v>0</v>
      </c>
      <c r="AY142" s="185">
        <f t="shared" si="65"/>
        <v>0</v>
      </c>
      <c r="AZ142" s="185">
        <f t="shared" si="66"/>
        <v>0</v>
      </c>
      <c r="BA142" s="185">
        <f t="shared" si="67"/>
        <v>0</v>
      </c>
      <c r="BB142" s="185">
        <f t="shared" si="68"/>
        <v>0</v>
      </c>
      <c r="BC142" s="185">
        <f t="shared" si="69"/>
        <v>0</v>
      </c>
      <c r="BD142" s="185">
        <f t="shared" si="70"/>
        <v>0</v>
      </c>
      <c r="BE142" s="185">
        <f t="shared" si="71"/>
        <v>0</v>
      </c>
    </row>
    <row r="143" spans="1:57" s="90" customFormat="1" ht="15" hidden="1" customHeight="1" x14ac:dyDescent="0.25">
      <c r="A143" s="187" t="b">
        <v>1</v>
      </c>
      <c r="B143" s="188" t="b">
        <v>1</v>
      </c>
      <c r="C143" s="179" t="e">
        <f t="shared" si="48"/>
        <v>#N/A</v>
      </c>
      <c r="E143" s="180">
        <v>2114</v>
      </c>
      <c r="F143" s="100">
        <f t="shared" si="72"/>
        <v>143</v>
      </c>
      <c r="G143" s="181">
        <f>Pension_age-F143</f>
        <v>-76</v>
      </c>
      <c r="H143" s="181" t="e">
        <f t="shared" si="51"/>
        <v>#N/A</v>
      </c>
      <c r="J143" s="182">
        <v>0</v>
      </c>
      <c r="K143" s="101"/>
      <c r="L143" s="183" t="e">
        <f t="shared" si="50"/>
        <v>#N/A</v>
      </c>
      <c r="M143" s="184"/>
      <c r="N143" s="91"/>
      <c r="O143" s="91"/>
      <c r="P143" s="90">
        <v>0</v>
      </c>
      <c r="Q143" s="87">
        <v>1</v>
      </c>
      <c r="R143" s="185">
        <v>0</v>
      </c>
      <c r="S143" s="185">
        <v>0</v>
      </c>
      <c r="T143" s="185">
        <v>0</v>
      </c>
      <c r="U143" s="185">
        <v>0</v>
      </c>
      <c r="V143" s="182">
        <v>0</v>
      </c>
      <c r="W143" s="182">
        <v>0</v>
      </c>
      <c r="X143" s="182">
        <v>0</v>
      </c>
      <c r="Y143" s="182">
        <v>0</v>
      </c>
      <c r="Z143" s="182">
        <v>0</v>
      </c>
      <c r="AA143" s="182">
        <v>0</v>
      </c>
      <c r="AB143" s="182">
        <v>0</v>
      </c>
      <c r="AC143" s="182">
        <v>0</v>
      </c>
      <c r="AD143" s="182">
        <v>0</v>
      </c>
      <c r="AE143" s="182">
        <v>0</v>
      </c>
      <c r="AF143" s="182">
        <v>0</v>
      </c>
      <c r="AG143" s="182">
        <v>0</v>
      </c>
      <c r="AH143" s="182">
        <v>0</v>
      </c>
      <c r="AI143" s="182">
        <v>0</v>
      </c>
      <c r="AJ143" s="182">
        <v>0</v>
      </c>
      <c r="AL143" s="185">
        <f t="shared" si="52"/>
        <v>1</v>
      </c>
      <c r="AM143" s="185">
        <f t="shared" si="53"/>
        <v>0</v>
      </c>
      <c r="AN143" s="185">
        <f t="shared" si="54"/>
        <v>0</v>
      </c>
      <c r="AO143" s="185">
        <f t="shared" si="55"/>
        <v>0</v>
      </c>
      <c r="AP143" s="185">
        <f t="shared" si="56"/>
        <v>0</v>
      </c>
      <c r="AQ143" s="185">
        <f t="shared" si="57"/>
        <v>0</v>
      </c>
      <c r="AR143" s="185">
        <f t="shared" si="58"/>
        <v>0</v>
      </c>
      <c r="AS143" s="185">
        <f t="shared" si="59"/>
        <v>0</v>
      </c>
      <c r="AT143" s="185">
        <f t="shared" si="60"/>
        <v>0</v>
      </c>
      <c r="AU143" s="185">
        <f t="shared" si="61"/>
        <v>0</v>
      </c>
      <c r="AV143" s="185">
        <f t="shared" si="62"/>
        <v>0</v>
      </c>
      <c r="AW143" s="185">
        <f t="shared" si="63"/>
        <v>0</v>
      </c>
      <c r="AX143" s="185">
        <f t="shared" si="64"/>
        <v>0</v>
      </c>
      <c r="AY143" s="185">
        <f t="shared" si="65"/>
        <v>0</v>
      </c>
      <c r="AZ143" s="185">
        <f t="shared" si="66"/>
        <v>0</v>
      </c>
      <c r="BA143" s="185">
        <f t="shared" si="67"/>
        <v>0</v>
      </c>
      <c r="BB143" s="185">
        <f t="shared" si="68"/>
        <v>0</v>
      </c>
      <c r="BC143" s="185">
        <f t="shared" si="69"/>
        <v>0</v>
      </c>
      <c r="BD143" s="185">
        <f t="shared" si="70"/>
        <v>0</v>
      </c>
      <c r="BE143" s="185">
        <f t="shared" si="71"/>
        <v>0</v>
      </c>
    </row>
    <row r="144" spans="1:57" s="90" customFormat="1" ht="15" hidden="1" customHeight="1" x14ac:dyDescent="0.25">
      <c r="A144" s="187" t="b">
        <v>1</v>
      </c>
      <c r="B144" s="188" t="b">
        <v>1</v>
      </c>
      <c r="C144" s="179" t="e">
        <f t="shared" si="48"/>
        <v>#N/A</v>
      </c>
      <c r="E144" s="180">
        <v>2115</v>
      </c>
      <c r="F144" s="100">
        <f t="shared" si="72"/>
        <v>144</v>
      </c>
      <c r="G144" s="181">
        <f>Pension_age-F144</f>
        <v>-77</v>
      </c>
      <c r="H144" s="181" t="e">
        <f t="shared" si="51"/>
        <v>#N/A</v>
      </c>
      <c r="J144" s="182">
        <v>0</v>
      </c>
      <c r="K144" s="101"/>
      <c r="L144" s="183" t="e">
        <f t="shared" si="50"/>
        <v>#N/A</v>
      </c>
      <c r="M144" s="184"/>
      <c r="N144" s="91"/>
      <c r="O144" s="91"/>
      <c r="P144" s="90">
        <v>0</v>
      </c>
      <c r="Q144" s="87">
        <v>1</v>
      </c>
      <c r="R144" s="185">
        <v>0</v>
      </c>
      <c r="S144" s="185">
        <v>0</v>
      </c>
      <c r="T144" s="185">
        <v>0</v>
      </c>
      <c r="U144" s="185">
        <v>0</v>
      </c>
      <c r="V144" s="182">
        <v>0</v>
      </c>
      <c r="W144" s="182">
        <v>0</v>
      </c>
      <c r="X144" s="182">
        <v>0</v>
      </c>
      <c r="Y144" s="182">
        <v>0</v>
      </c>
      <c r="Z144" s="182">
        <v>0</v>
      </c>
      <c r="AA144" s="182">
        <v>0</v>
      </c>
      <c r="AB144" s="182">
        <v>0</v>
      </c>
      <c r="AC144" s="182">
        <v>0</v>
      </c>
      <c r="AD144" s="182">
        <v>0</v>
      </c>
      <c r="AE144" s="182">
        <v>0</v>
      </c>
      <c r="AF144" s="182">
        <v>0</v>
      </c>
      <c r="AG144" s="182">
        <v>0</v>
      </c>
      <c r="AH144" s="182">
        <v>0</v>
      </c>
      <c r="AI144" s="182">
        <v>0</v>
      </c>
      <c r="AJ144" s="182">
        <v>0</v>
      </c>
      <c r="AL144" s="185">
        <f t="shared" si="52"/>
        <v>1</v>
      </c>
      <c r="AM144" s="185">
        <f t="shared" si="53"/>
        <v>0</v>
      </c>
      <c r="AN144" s="185">
        <f t="shared" si="54"/>
        <v>0</v>
      </c>
      <c r="AO144" s="185">
        <f t="shared" si="55"/>
        <v>0</v>
      </c>
      <c r="AP144" s="185">
        <f t="shared" si="56"/>
        <v>0</v>
      </c>
      <c r="AQ144" s="185">
        <f t="shared" si="57"/>
        <v>0</v>
      </c>
      <c r="AR144" s="185">
        <f t="shared" si="58"/>
        <v>0</v>
      </c>
      <c r="AS144" s="185">
        <f t="shared" si="59"/>
        <v>0</v>
      </c>
      <c r="AT144" s="185">
        <f t="shared" si="60"/>
        <v>0</v>
      </c>
      <c r="AU144" s="185">
        <f t="shared" si="61"/>
        <v>0</v>
      </c>
      <c r="AV144" s="185">
        <f t="shared" si="62"/>
        <v>0</v>
      </c>
      <c r="AW144" s="185">
        <f t="shared" si="63"/>
        <v>0</v>
      </c>
      <c r="AX144" s="185">
        <f t="shared" si="64"/>
        <v>0</v>
      </c>
      <c r="AY144" s="185">
        <f t="shared" si="65"/>
        <v>0</v>
      </c>
      <c r="AZ144" s="185">
        <f t="shared" si="66"/>
        <v>0</v>
      </c>
      <c r="BA144" s="185">
        <f t="shared" si="67"/>
        <v>0</v>
      </c>
      <c r="BB144" s="185">
        <f t="shared" si="68"/>
        <v>0</v>
      </c>
      <c r="BC144" s="185">
        <f t="shared" si="69"/>
        <v>0</v>
      </c>
      <c r="BD144" s="185">
        <f t="shared" si="70"/>
        <v>0</v>
      </c>
      <c r="BE144" s="185">
        <f t="shared" si="71"/>
        <v>0</v>
      </c>
    </row>
    <row r="145" spans="1:57" s="90" customFormat="1" ht="15" hidden="1" customHeight="1" x14ac:dyDescent="0.25">
      <c r="A145" s="187" t="b">
        <v>1</v>
      </c>
      <c r="B145" s="188" t="b">
        <v>1</v>
      </c>
      <c r="C145" s="179" t="e">
        <f t="shared" si="48"/>
        <v>#N/A</v>
      </c>
      <c r="E145" s="180">
        <v>2116</v>
      </c>
      <c r="F145" s="100">
        <f t="shared" si="72"/>
        <v>145</v>
      </c>
      <c r="G145" s="181">
        <f>Pension_age-F145</f>
        <v>-78</v>
      </c>
      <c r="H145" s="181" t="e">
        <f t="shared" si="51"/>
        <v>#N/A</v>
      </c>
      <c r="J145" s="182">
        <v>0</v>
      </c>
      <c r="K145" s="101"/>
      <c r="L145" s="183" t="e">
        <f t="shared" si="50"/>
        <v>#N/A</v>
      </c>
      <c r="M145" s="184"/>
      <c r="N145" s="91"/>
      <c r="O145" s="91"/>
      <c r="P145" s="90">
        <v>0</v>
      </c>
      <c r="Q145" s="87">
        <v>1</v>
      </c>
      <c r="R145" s="185">
        <v>0</v>
      </c>
      <c r="S145" s="185">
        <v>0</v>
      </c>
      <c r="T145" s="185">
        <v>0</v>
      </c>
      <c r="U145" s="185">
        <v>0</v>
      </c>
      <c r="V145" s="182">
        <v>0</v>
      </c>
      <c r="W145" s="182">
        <v>0</v>
      </c>
      <c r="X145" s="182">
        <v>0</v>
      </c>
      <c r="Y145" s="182">
        <v>0</v>
      </c>
      <c r="Z145" s="182">
        <v>0</v>
      </c>
      <c r="AA145" s="182">
        <v>0</v>
      </c>
      <c r="AB145" s="182">
        <v>0</v>
      </c>
      <c r="AC145" s="182">
        <v>0</v>
      </c>
      <c r="AD145" s="182">
        <v>0</v>
      </c>
      <c r="AE145" s="182">
        <v>0</v>
      </c>
      <c r="AF145" s="182">
        <v>0</v>
      </c>
      <c r="AG145" s="182">
        <v>0</v>
      </c>
      <c r="AH145" s="182">
        <v>0</v>
      </c>
      <c r="AI145" s="182">
        <v>0</v>
      </c>
      <c r="AJ145" s="182">
        <v>0</v>
      </c>
      <c r="AL145" s="185">
        <f t="shared" si="52"/>
        <v>1</v>
      </c>
      <c r="AM145" s="185">
        <f t="shared" si="53"/>
        <v>0</v>
      </c>
      <c r="AN145" s="185">
        <f t="shared" si="54"/>
        <v>0</v>
      </c>
      <c r="AO145" s="185">
        <f t="shared" si="55"/>
        <v>0</v>
      </c>
      <c r="AP145" s="185">
        <f t="shared" si="56"/>
        <v>0</v>
      </c>
      <c r="AQ145" s="185">
        <f t="shared" si="57"/>
        <v>0</v>
      </c>
      <c r="AR145" s="185">
        <f t="shared" si="58"/>
        <v>0</v>
      </c>
      <c r="AS145" s="185">
        <f t="shared" si="59"/>
        <v>0</v>
      </c>
      <c r="AT145" s="185">
        <f t="shared" si="60"/>
        <v>0</v>
      </c>
      <c r="AU145" s="185">
        <f t="shared" si="61"/>
        <v>0</v>
      </c>
      <c r="AV145" s="185">
        <f t="shared" si="62"/>
        <v>0</v>
      </c>
      <c r="AW145" s="185">
        <f t="shared" si="63"/>
        <v>0</v>
      </c>
      <c r="AX145" s="185">
        <f t="shared" si="64"/>
        <v>0</v>
      </c>
      <c r="AY145" s="185">
        <f t="shared" si="65"/>
        <v>0</v>
      </c>
      <c r="AZ145" s="185">
        <f t="shared" si="66"/>
        <v>0</v>
      </c>
      <c r="BA145" s="185">
        <f t="shared" si="67"/>
        <v>0</v>
      </c>
      <c r="BB145" s="185">
        <f t="shared" si="68"/>
        <v>0</v>
      </c>
      <c r="BC145" s="185">
        <f t="shared" si="69"/>
        <v>0</v>
      </c>
      <c r="BD145" s="185">
        <f t="shared" si="70"/>
        <v>0</v>
      </c>
      <c r="BE145" s="185">
        <f t="shared" si="71"/>
        <v>0</v>
      </c>
    </row>
    <row r="146" spans="1:57" s="90" customFormat="1" ht="15" hidden="1" customHeight="1" x14ac:dyDescent="0.25">
      <c r="A146" s="187" t="b">
        <v>1</v>
      </c>
      <c r="B146" s="188" t="b">
        <v>1</v>
      </c>
      <c r="C146" s="179" t="e">
        <f t="shared" si="48"/>
        <v>#N/A</v>
      </c>
      <c r="E146" s="180">
        <v>2117</v>
      </c>
      <c r="F146" s="100">
        <f t="shared" si="72"/>
        <v>146</v>
      </c>
      <c r="G146" s="181">
        <f>Pension_age-F146</f>
        <v>-79</v>
      </c>
      <c r="H146" s="181" t="e">
        <f t="shared" si="51"/>
        <v>#N/A</v>
      </c>
      <c r="J146" s="182">
        <v>0</v>
      </c>
      <c r="K146" s="101"/>
      <c r="L146" s="183" t="e">
        <f t="shared" si="50"/>
        <v>#N/A</v>
      </c>
      <c r="M146" s="184"/>
      <c r="N146" s="91"/>
      <c r="O146" s="91"/>
      <c r="P146" s="90">
        <v>0</v>
      </c>
      <c r="Q146" s="87">
        <v>1</v>
      </c>
      <c r="R146" s="185">
        <v>0</v>
      </c>
      <c r="S146" s="185">
        <v>0</v>
      </c>
      <c r="T146" s="185">
        <v>0</v>
      </c>
      <c r="U146" s="185">
        <v>0</v>
      </c>
      <c r="V146" s="182">
        <v>0</v>
      </c>
      <c r="W146" s="182">
        <v>0</v>
      </c>
      <c r="X146" s="182">
        <v>0</v>
      </c>
      <c r="Y146" s="182">
        <v>0</v>
      </c>
      <c r="Z146" s="182">
        <v>0</v>
      </c>
      <c r="AA146" s="182">
        <v>0</v>
      </c>
      <c r="AB146" s="182">
        <v>0</v>
      </c>
      <c r="AC146" s="182">
        <v>0</v>
      </c>
      <c r="AD146" s="182">
        <v>0</v>
      </c>
      <c r="AE146" s="182">
        <v>0</v>
      </c>
      <c r="AF146" s="182">
        <v>0</v>
      </c>
      <c r="AG146" s="182">
        <v>0</v>
      </c>
      <c r="AH146" s="182">
        <v>0</v>
      </c>
      <c r="AI146" s="182">
        <v>0</v>
      </c>
      <c r="AJ146" s="182">
        <v>0</v>
      </c>
      <c r="AL146" s="185">
        <f t="shared" si="52"/>
        <v>1</v>
      </c>
      <c r="AM146" s="185">
        <f t="shared" si="53"/>
        <v>0</v>
      </c>
      <c r="AN146" s="185">
        <f t="shared" si="54"/>
        <v>0</v>
      </c>
      <c r="AO146" s="185">
        <f t="shared" si="55"/>
        <v>0</v>
      </c>
      <c r="AP146" s="185">
        <f t="shared" si="56"/>
        <v>0</v>
      </c>
      <c r="AQ146" s="185">
        <f t="shared" si="57"/>
        <v>0</v>
      </c>
      <c r="AR146" s="185">
        <f t="shared" si="58"/>
        <v>0</v>
      </c>
      <c r="AS146" s="185">
        <f t="shared" si="59"/>
        <v>0</v>
      </c>
      <c r="AT146" s="185">
        <f t="shared" si="60"/>
        <v>0</v>
      </c>
      <c r="AU146" s="185">
        <f t="shared" si="61"/>
        <v>0</v>
      </c>
      <c r="AV146" s="185">
        <f t="shared" si="62"/>
        <v>0</v>
      </c>
      <c r="AW146" s="185">
        <f t="shared" si="63"/>
        <v>0</v>
      </c>
      <c r="AX146" s="185">
        <f t="shared" si="64"/>
        <v>0</v>
      </c>
      <c r="AY146" s="185">
        <f t="shared" si="65"/>
        <v>0</v>
      </c>
      <c r="AZ146" s="185">
        <f t="shared" si="66"/>
        <v>0</v>
      </c>
      <c r="BA146" s="185">
        <f t="shared" si="67"/>
        <v>0</v>
      </c>
      <c r="BB146" s="185">
        <f t="shared" si="68"/>
        <v>0</v>
      </c>
      <c r="BC146" s="185">
        <f t="shared" si="69"/>
        <v>0</v>
      </c>
      <c r="BD146" s="185">
        <f t="shared" si="70"/>
        <v>0</v>
      </c>
      <c r="BE146" s="185">
        <f t="shared" si="71"/>
        <v>0</v>
      </c>
    </row>
    <row r="147" spans="1:57" s="90" customFormat="1" ht="15" hidden="1" customHeight="1" x14ac:dyDescent="0.25">
      <c r="A147" s="189" t="b">
        <v>1</v>
      </c>
      <c r="B147" s="190" t="b">
        <v>1</v>
      </c>
      <c r="C147" s="179" t="e">
        <f t="shared" si="48"/>
        <v>#N/A</v>
      </c>
      <c r="E147" s="180">
        <v>2118</v>
      </c>
      <c r="F147" s="100">
        <f t="shared" si="72"/>
        <v>147</v>
      </c>
      <c r="G147" s="181">
        <f>Pension_age-F147</f>
        <v>-80</v>
      </c>
      <c r="H147" s="181" t="e">
        <f t="shared" si="51"/>
        <v>#N/A</v>
      </c>
      <c r="J147" s="182">
        <v>0</v>
      </c>
      <c r="K147" s="101"/>
      <c r="L147" s="183" t="e">
        <f t="shared" si="50"/>
        <v>#N/A</v>
      </c>
      <c r="M147" s="184"/>
      <c r="N147" s="91"/>
      <c r="O147" s="91"/>
      <c r="P147" s="90">
        <v>0</v>
      </c>
      <c r="Q147" s="87">
        <v>1</v>
      </c>
      <c r="R147" s="185">
        <v>0</v>
      </c>
      <c r="S147" s="185">
        <v>0</v>
      </c>
      <c r="T147" s="185">
        <v>0</v>
      </c>
      <c r="U147" s="185">
        <v>0</v>
      </c>
      <c r="V147" s="182">
        <v>0</v>
      </c>
      <c r="W147" s="182">
        <v>0</v>
      </c>
      <c r="X147" s="182">
        <v>0</v>
      </c>
      <c r="Y147" s="182">
        <v>0</v>
      </c>
      <c r="Z147" s="182">
        <v>0</v>
      </c>
      <c r="AA147" s="182">
        <v>0</v>
      </c>
      <c r="AB147" s="182">
        <v>0</v>
      </c>
      <c r="AC147" s="182">
        <v>0</v>
      </c>
      <c r="AD147" s="182">
        <v>0</v>
      </c>
      <c r="AE147" s="182">
        <v>0</v>
      </c>
      <c r="AF147" s="182">
        <v>0</v>
      </c>
      <c r="AG147" s="182">
        <v>0</v>
      </c>
      <c r="AH147" s="182">
        <v>0</v>
      </c>
      <c r="AI147" s="182">
        <v>0</v>
      </c>
      <c r="AJ147" s="182">
        <v>0</v>
      </c>
      <c r="AL147" s="185">
        <f t="shared" si="52"/>
        <v>1</v>
      </c>
      <c r="AM147" s="185">
        <f t="shared" si="53"/>
        <v>0</v>
      </c>
      <c r="AN147" s="185">
        <f t="shared" si="54"/>
        <v>0</v>
      </c>
      <c r="AO147" s="185">
        <f t="shared" si="55"/>
        <v>0</v>
      </c>
      <c r="AP147" s="185">
        <f t="shared" si="56"/>
        <v>0</v>
      </c>
      <c r="AQ147" s="185">
        <f t="shared" si="57"/>
        <v>0</v>
      </c>
      <c r="AR147" s="185">
        <f t="shared" si="58"/>
        <v>0</v>
      </c>
      <c r="AS147" s="185">
        <f t="shared" si="59"/>
        <v>0</v>
      </c>
      <c r="AT147" s="185">
        <f t="shared" si="60"/>
        <v>0</v>
      </c>
      <c r="AU147" s="185">
        <f t="shared" si="61"/>
        <v>0</v>
      </c>
      <c r="AV147" s="185">
        <f t="shared" si="62"/>
        <v>0</v>
      </c>
      <c r="AW147" s="185">
        <f t="shared" si="63"/>
        <v>0</v>
      </c>
      <c r="AX147" s="185">
        <f t="shared" si="64"/>
        <v>0</v>
      </c>
      <c r="AY147" s="185">
        <f t="shared" si="65"/>
        <v>0</v>
      </c>
      <c r="AZ147" s="185">
        <f t="shared" si="66"/>
        <v>0</v>
      </c>
      <c r="BA147" s="185">
        <f t="shared" si="67"/>
        <v>0</v>
      </c>
      <c r="BB147" s="185">
        <f t="shared" si="68"/>
        <v>0</v>
      </c>
      <c r="BC147" s="185">
        <f t="shared" si="69"/>
        <v>0</v>
      </c>
      <c r="BD147" s="185">
        <f t="shared" si="70"/>
        <v>0</v>
      </c>
      <c r="BE147" s="185">
        <f t="shared" si="71"/>
        <v>0</v>
      </c>
    </row>
  </sheetData>
  <sheetProtection algorithmName="SHA-512" hashValue="Q1xnATcKF+ypxkz7f0rm/GQcDQd233DkgN8UcLbHXpfBRfE+3AgV885FCfXTzoOPW8rJWXjAJgcses+kCR2RzA==" saltValue="y57LCFdYYdcENdOrQ56Ldg==" spinCount="100000" sheet="1" objects="1" scenarios="1" selectLockedCells="1"/>
  <mergeCells count="7">
    <mergeCell ref="E9:M9"/>
    <mergeCell ref="F36:L36"/>
    <mergeCell ref="Q39:U40"/>
    <mergeCell ref="J44:J45"/>
    <mergeCell ref="L44:M44"/>
    <mergeCell ref="J16:L16"/>
    <mergeCell ref="J17:L17"/>
  </mergeCells>
  <conditionalFormatting sqref="L47:L147 F49:L67 N47:P67 E47:L48 E49:E147">
    <cfRule type="expression" dxfId="92" priority="23">
      <formula>$G47&lt;0</formula>
    </cfRule>
  </conditionalFormatting>
  <conditionalFormatting sqref="M68:M147">
    <cfRule type="expression" dxfId="91" priority="22">
      <formula>$G68&lt;0</formula>
    </cfRule>
  </conditionalFormatting>
  <conditionalFormatting sqref="J19">
    <cfRule type="expression" dxfId="90" priority="28">
      <formula>(#REF!="")</formula>
    </cfRule>
  </conditionalFormatting>
  <conditionalFormatting sqref="J24:J25">
    <cfRule type="expression" dxfId="89" priority="29">
      <formula>NOT($B24)</formula>
    </cfRule>
  </conditionalFormatting>
  <conditionalFormatting sqref="F38:F39">
    <cfRule type="iconSet" priority="20">
      <iconSet iconSet="3Symbols2" showValue="0">
        <cfvo type="percent" val="0"/>
        <cfvo type="num" val="1"/>
        <cfvo type="num" val="1"/>
      </iconSet>
    </cfRule>
  </conditionalFormatting>
  <conditionalFormatting sqref="F68:P147">
    <cfRule type="expression" dxfId="88" priority="17">
      <formula>$G68&lt;0</formula>
    </cfRule>
  </conditionalFormatting>
  <conditionalFormatting sqref="M47">
    <cfRule type="expression" dxfId="87" priority="16">
      <formula>$G47&lt;0</formula>
    </cfRule>
  </conditionalFormatting>
  <conditionalFormatting sqref="M47">
    <cfRule type="expression" dxfId="86" priority="15">
      <formula>$G47&lt;0</formula>
    </cfRule>
  </conditionalFormatting>
  <conditionalFormatting sqref="M48:M67">
    <cfRule type="expression" dxfId="85" priority="14">
      <formula>$G48&lt;0</formula>
    </cfRule>
  </conditionalFormatting>
  <conditionalFormatting sqref="M48:M67">
    <cfRule type="expression" dxfId="84" priority="13">
      <formula>$G48&lt;0</formula>
    </cfRule>
  </conditionalFormatting>
  <conditionalFormatting sqref="Q47:AJ147">
    <cfRule type="expression" dxfId="83" priority="7">
      <formula>$G47&lt;0</formula>
    </cfRule>
    <cfRule type="expression" dxfId="82" priority="8">
      <formula>Q$45&gt;NumberOfAssets</formula>
    </cfRule>
  </conditionalFormatting>
  <conditionalFormatting sqref="Q47:AJ147">
    <cfRule type="expression" dxfId="81" priority="9">
      <formula>NOT($A47)</formula>
    </cfRule>
  </conditionalFormatting>
  <conditionalFormatting sqref="AL47:BE147">
    <cfRule type="expression" dxfId="80" priority="4">
      <formula>$G47&lt;0</formula>
    </cfRule>
    <cfRule type="expression" dxfId="79" priority="5">
      <formula>AL$45&gt;NumberOfAssets</formula>
    </cfRule>
    <cfRule type="expression" dxfId="78" priority="6">
      <formula>NOT($B47)</formula>
    </cfRule>
  </conditionalFormatting>
  <conditionalFormatting sqref="L24:L25">
    <cfRule type="expression" dxfId="77" priority="2">
      <formula>NOT($B24)</formula>
    </cfRule>
  </conditionalFormatting>
  <dataValidations xWindow="899" yWindow="552" count="13">
    <dataValidation type="decimal" operator="greaterThan" showInputMessage="1" showErrorMessage="1" errorTitle="Incorrect floor level" error="Floor level must be a non-negative number." promptTitle="Pensionable income cap level" prompt="Pensionable income is salary below this cap level.  Cap is assumed to grow with either price or wage inflation to be set by the user._x000a__x000a_Note: contributions are only paid over pensionable income" sqref="J25">
      <formula1>0</formula1>
    </dataValidation>
    <dataValidation type="decimal" operator="greaterThanOrEqual" showInputMessage="1" showErrorMessage="1" errorTitle="Incorrect current wage" error="Value must be non-negative" promptTitle="Current wage" prompt="Provide an estimate of the current level of gross annual earnings that best represent your member population." sqref="J19">
      <formula1>0</formula1>
    </dataValidation>
    <dataValidation type="decimal" operator="greaterThan" showInputMessage="1" showErrorMessage="1" errorTitle="Incorrect floor level" error="Floor level must be a non-negative number." promptTitle="Pensionable income floor level" prompt="Pensionable income is salary above this floor level.  Floor is assumed to grow with either price or wage inflation to be set by the user._x000a__x000a_Note: contributions are only paid over pensionable income" sqref="J24">
      <formula1>0</formula1>
    </dataValidation>
    <dataValidation allowBlank="1" errorTitle="Incorrect contribution rate" error="Incorrect value for the contribution rate._x000a__x000a_The contribution rate should be between 0% and 100%" promptTitle="Enter contribution rate" prompt="Contribution rate should be between 0% and 100%" sqref="L47:L147"/>
    <dataValidation type="decimal" operator="greaterThanOrEqual" showInputMessage="1" showErrorMessage="1" errorTitle="Incorrect current pension wealth" error="Value must be non-negative." promptTitle="Current pension wealth" prompt="Provide a best estimate of pension wealth that representative for  this member. _x000a_" sqref="J21">
      <formula1>0</formula1>
    </dataValidation>
    <dataValidation allowBlank="1" showInputMessage="1" showErrorMessage="1" promptTitle="Profile name (Optional)" prompt="Provide a profile name for identification purposes in case your DC plan features different investment profiles" sqref="J17"/>
    <dataValidation allowBlank="1" showInputMessage="1" showErrorMessage="1" promptTitle="Product name" prompt="Provide a descriptive product name or DC-fund name." sqref="J16"/>
    <dataValidation type="whole" showInputMessage="1" showErrorMessage="1" errorTitle="Incorrect pension age" error="Pension age should be between 50 and 80 years." promptTitle="Pension age" prompt="Set pension age according to best estimate. It should be between 50 and 80" sqref="J13">
      <formula1>J12+18</formula1>
      <formula2>80</formula2>
    </dataValidation>
    <dataValidation type="decimal" allowBlank="1" showInputMessage="1" showErrorMessage="1" errorTitle="Incorrect contribution rate" error="Incorrect value for the contribution rate._x000a__x000a_The contribution rate should be between 0% and 100%" promptTitle="Enter contribution rate" prompt="Contribution rate should be between 0% and 100%" sqref="M68:M147 K47">
      <formula1>0</formula1>
      <formula2>1</formula2>
    </dataValidation>
    <dataValidation type="decimal" allowBlank="1" showErrorMessage="1" errorTitle="Incorrect contribution rate" error="Incorrect value for the contribution rate._x000a__x000a_The contribution rate should be between 0% and 100%" promptTitle="Test" prompt="bla bla" sqref="J48:K147 J47">
      <formula1>0</formula1>
      <formula2>1</formula2>
    </dataValidation>
    <dataValidation type="decimal" showInputMessage="1" showErrorMessage="1" errorTitle="Incorrect asset weight" error="The value should be between 0% and 100%." promptTitle="Asset weight" prompt="Asset weight is the proportion of total pension savings invested in the asset._x000a__x000a_The value should be between 0% and 100%. The value over all assets should add up to 100%" sqref="AL47:BE147 Q47:AJ147">
      <formula1>0</formula1>
      <formula2>1</formula2>
    </dataValidation>
    <dataValidation type="decimal" allowBlank="1" showInputMessage="1" showErrorMessage="1" errorTitle="Incorrect salary growth" error="Incorrect value for the salary growth._x000a__x000a_The salary growth should be between -100% and 100%" promptTitle="Enter salary growth" prompt="Career salary growth should be between -100% and 100%" sqref="M47:M67">
      <formula1>-1</formula1>
      <formula2>1</formula2>
    </dataValidation>
    <dataValidation type="list" allowBlank="1" showInputMessage="1" showErrorMessage="1" sqref="L24:L25">
      <formula1>"Price, Wage"</formula1>
    </dataValidation>
  </dataValidations>
  <pageMargins left="0.7" right="0.7" top="0.75" bottom="0.75" header="0.3" footer="0.3"/>
  <pageSetup orientation="portrait" r:id="rId1"/>
  <ignoredErrors>
    <ignoredError sqref="AL48:BE147"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76801" r:id="rId4" name="chkPensionBaseFloor">
              <controlPr defaultSize="0" autoFill="0" autoLine="0" autoPict="0">
                <anchor moveWithCells="1">
                  <from>
                    <xdr:col>8</xdr:col>
                    <xdr:colOff>0</xdr:colOff>
                    <xdr:row>23</xdr:row>
                    <xdr:rowOff>0</xdr:rowOff>
                  </from>
                  <to>
                    <xdr:col>8</xdr:col>
                    <xdr:colOff>238125</xdr:colOff>
                    <xdr:row>24</xdr:row>
                    <xdr:rowOff>9525</xdr:rowOff>
                  </to>
                </anchor>
              </controlPr>
            </control>
          </mc:Choice>
        </mc:AlternateContent>
        <mc:AlternateContent xmlns:mc="http://schemas.openxmlformats.org/markup-compatibility/2006">
          <mc:Choice Requires="x14">
            <control shapeId="76802" r:id="rId5" name="chkPensionBaseCap">
              <controlPr defaultSize="0" autoFill="0" autoLine="0" autoPict="0">
                <anchor moveWithCells="1">
                  <from>
                    <xdr:col>8</xdr:col>
                    <xdr:colOff>0</xdr:colOff>
                    <xdr:row>24</xdr:row>
                    <xdr:rowOff>0</xdr:rowOff>
                  </from>
                  <to>
                    <xdr:col>8</xdr:col>
                    <xdr:colOff>266700</xdr:colOff>
                    <xdr:row>25</xdr:row>
                    <xdr:rowOff>47625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iconSet" priority="21" id="{1EDEA0BF-4E52-4C49-988B-529982A662D6}">
            <x14:iconSet iconSet="3Symbols2" showValue="0" custom="1">
              <x14:cfvo type="percent">
                <xm:f>0</xm:f>
              </x14:cfvo>
              <x14:cfvo type="num">
                <xm:f>0</xm:f>
              </x14:cfvo>
              <x14:cfvo type="num">
                <xm:f>1</xm:f>
              </x14:cfvo>
              <x14:cfIcon iconSet="NoIcons" iconId="0"/>
              <x14:cfIcon iconSet="NoIcons" iconId="0"/>
              <x14:cfIcon iconSet="3Symbols2" iconId="0"/>
            </x14:iconSet>
          </x14:cfRule>
          <xm:sqref>P47:P147</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tabColor rgb="FFFFFF00"/>
  </sheetPr>
  <dimension ref="A1:BF147"/>
  <sheetViews>
    <sheetView topLeftCell="D25" zoomScaleNormal="100" workbookViewId="0">
      <selection activeCell="Q47" sqref="Q47:Q147"/>
    </sheetView>
  </sheetViews>
  <sheetFormatPr defaultColWidth="0" defaultRowHeight="15" customHeight="1" x14ac:dyDescent="0.25"/>
  <cols>
    <col min="1" max="1" width="20" style="114" hidden="1" customWidth="1"/>
    <col min="2" max="2" width="11" style="114" hidden="1" customWidth="1"/>
    <col min="3" max="3" width="8.5703125" style="114" hidden="1" customWidth="1"/>
    <col min="4" max="4" width="9.140625" style="91" customWidth="1"/>
    <col min="5" max="5" width="7.42578125" style="91" customWidth="1"/>
    <col min="6" max="6" width="5.7109375" style="91" customWidth="1"/>
    <col min="7" max="7" width="13.28515625" style="91" customWidth="1"/>
    <col min="8" max="8" width="17.28515625" style="91" customWidth="1"/>
    <col min="9" max="9" width="4.42578125" style="91" customWidth="1"/>
    <col min="10" max="10" width="12.7109375" style="91" customWidth="1"/>
    <col min="11" max="11" width="4.7109375" style="101" customWidth="1"/>
    <col min="12" max="12" width="18.7109375" style="91" customWidth="1"/>
    <col min="13" max="13" width="10.5703125" style="91" customWidth="1"/>
    <col min="14" max="15" width="3.140625" style="91" customWidth="1"/>
    <col min="16" max="16" width="4.42578125" style="91" customWidth="1"/>
    <col min="17" max="57" width="10.7109375" style="91" customWidth="1"/>
    <col min="58" max="58" width="9.140625" style="91" customWidth="1"/>
    <col min="59" max="16384" width="9.140625" style="91" hidden="1"/>
  </cols>
  <sheetData>
    <row r="1" spans="1:24" s="89" customFormat="1" ht="15" hidden="1" customHeight="1" x14ac:dyDescent="0.25">
      <c r="A1" s="89" t="s">
        <v>71</v>
      </c>
      <c r="B1" s="89" t="s">
        <v>75</v>
      </c>
      <c r="N1" s="114"/>
      <c r="O1" s="114"/>
    </row>
    <row r="2" spans="1:24" s="90" customFormat="1" ht="15" customHeight="1" x14ac:dyDescent="0.25">
      <c r="A2" s="89" t="s">
        <v>73</v>
      </c>
      <c r="B2" s="89">
        <v>1.1000000000000001</v>
      </c>
      <c r="C2" s="89"/>
      <c r="E2" s="91"/>
      <c r="N2" s="91"/>
      <c r="O2" s="91"/>
    </row>
    <row r="3" spans="1:24" s="90" customFormat="1" ht="15" customHeight="1" x14ac:dyDescent="0.25">
      <c r="A3" s="89" t="s">
        <v>89</v>
      </c>
      <c r="B3" s="89">
        <v>2</v>
      </c>
      <c r="C3" s="89"/>
      <c r="E3" s="91"/>
      <c r="N3" s="91"/>
      <c r="O3" s="91"/>
      <c r="S3" s="91"/>
      <c r="T3" s="91"/>
      <c r="U3" s="91"/>
      <c r="V3" s="91"/>
    </row>
    <row r="4" spans="1:24" s="90" customFormat="1" ht="26.25" x14ac:dyDescent="0.4">
      <c r="A4" s="89" t="s">
        <v>90</v>
      </c>
      <c r="B4" s="89">
        <v>4</v>
      </c>
      <c r="C4" s="89"/>
      <c r="E4" s="91"/>
      <c r="I4" s="92" t="s">
        <v>56</v>
      </c>
      <c r="N4" s="91"/>
      <c r="O4" s="91"/>
      <c r="S4" s="91"/>
      <c r="T4" s="101"/>
      <c r="U4" s="128"/>
      <c r="V4" s="91"/>
    </row>
    <row r="5" spans="1:24" s="90" customFormat="1" ht="15" customHeight="1" x14ac:dyDescent="0.25">
      <c r="A5" s="89" t="s">
        <v>91</v>
      </c>
      <c r="B5" s="89">
        <v>53</v>
      </c>
      <c r="C5" s="89"/>
      <c r="E5" s="91"/>
      <c r="N5" s="91"/>
      <c r="O5" s="91"/>
      <c r="S5" s="91"/>
      <c r="T5" s="129"/>
      <c r="U5" s="128"/>
      <c r="V5" s="91"/>
    </row>
    <row r="6" spans="1:24" s="90" customFormat="1" ht="15" customHeight="1" x14ac:dyDescent="0.25">
      <c r="A6" s="89" t="s">
        <v>92</v>
      </c>
      <c r="B6" s="89">
        <v>58</v>
      </c>
      <c r="C6" s="89"/>
      <c r="E6" s="91"/>
      <c r="N6" s="91"/>
      <c r="O6" s="91"/>
      <c r="S6" s="91"/>
      <c r="T6" s="91"/>
      <c r="U6" s="91"/>
      <c r="V6" s="91"/>
    </row>
    <row r="7" spans="1:24" s="90" customFormat="1" ht="15" customHeight="1" x14ac:dyDescent="0.25">
      <c r="A7" s="89" t="s">
        <v>94</v>
      </c>
      <c r="B7" s="89" t="b">
        <f>NOT(IsCalculationTool)</f>
        <v>1</v>
      </c>
      <c r="C7" s="89"/>
      <c r="E7" s="91"/>
      <c r="N7" s="91"/>
      <c r="O7" s="91"/>
      <c r="T7" s="91"/>
      <c r="U7" s="91"/>
    </row>
    <row r="8" spans="1:24" s="90" customFormat="1" ht="15" customHeight="1" x14ac:dyDescent="0.25">
      <c r="A8" s="89" t="s">
        <v>96</v>
      </c>
      <c r="B8" s="89" t="b">
        <v>1</v>
      </c>
      <c r="C8" s="89"/>
      <c r="E8" s="91"/>
      <c r="K8" s="91"/>
      <c r="N8" s="91"/>
      <c r="O8" s="91"/>
    </row>
    <row r="9" spans="1:24" s="90" customFormat="1" ht="18.75" x14ac:dyDescent="0.3">
      <c r="A9" s="90" t="s">
        <v>434</v>
      </c>
      <c r="B9" s="130" t="b">
        <v>0</v>
      </c>
      <c r="C9" s="130"/>
      <c r="E9" s="349" t="s">
        <v>57</v>
      </c>
      <c r="F9" s="349"/>
      <c r="G9" s="349"/>
      <c r="H9" s="349"/>
      <c r="I9" s="349"/>
      <c r="J9" s="349"/>
      <c r="K9" s="349"/>
      <c r="L9" s="349"/>
      <c r="M9" s="349"/>
      <c r="N9" s="101"/>
      <c r="O9" s="101"/>
      <c r="P9" s="93" t="s">
        <v>157</v>
      </c>
      <c r="Q9" s="131"/>
      <c r="R9" s="131"/>
      <c r="S9" s="131"/>
      <c r="T9" s="131"/>
      <c r="U9" s="131"/>
      <c r="V9" s="131"/>
      <c r="W9" s="131"/>
      <c r="X9" s="132"/>
    </row>
    <row r="10" spans="1:24" s="90" customFormat="1" x14ac:dyDescent="0.25">
      <c r="A10" s="89"/>
      <c r="B10" s="89"/>
      <c r="C10" s="89"/>
      <c r="E10" s="95"/>
      <c r="F10" s="95"/>
      <c r="G10" s="95"/>
      <c r="H10" s="95"/>
      <c r="I10" s="95"/>
      <c r="J10" s="95"/>
      <c r="K10" s="110"/>
      <c r="L10" s="110"/>
      <c r="M10" s="110"/>
      <c r="N10" s="91"/>
      <c r="O10" s="91"/>
      <c r="Q10" s="132"/>
      <c r="R10" s="132"/>
      <c r="S10" s="132"/>
      <c r="T10" s="132"/>
      <c r="U10" s="132"/>
      <c r="V10" s="132"/>
      <c r="W10" s="132"/>
      <c r="X10" s="132"/>
    </row>
    <row r="11" spans="1:24" s="90" customFormat="1" x14ac:dyDescent="0.25">
      <c r="A11" s="89"/>
      <c r="B11" s="89"/>
      <c r="C11" s="89"/>
      <c r="E11" s="95"/>
      <c r="F11" s="95" t="s">
        <v>58</v>
      </c>
      <c r="G11" s="95"/>
      <c r="H11" s="95"/>
      <c r="I11" s="95"/>
      <c r="J11" s="198" t="s">
        <v>174</v>
      </c>
      <c r="K11" s="134"/>
      <c r="L11" s="134"/>
      <c r="M11" s="135"/>
      <c r="N11" s="128"/>
      <c r="O11" s="128"/>
      <c r="P11" s="136"/>
      <c r="Q11" s="132"/>
      <c r="R11" s="132"/>
      <c r="S11" s="132"/>
      <c r="T11" s="132"/>
      <c r="U11" s="132"/>
      <c r="V11" s="132"/>
      <c r="W11" s="132"/>
      <c r="X11" s="132"/>
    </row>
    <row r="12" spans="1:24" s="90" customFormat="1" x14ac:dyDescent="0.25">
      <c r="A12" s="89"/>
      <c r="B12" s="89"/>
      <c r="C12" s="89"/>
      <c r="E12" s="95"/>
      <c r="F12" s="95" t="s">
        <v>3</v>
      </c>
      <c r="G12" s="95"/>
      <c r="H12" s="95"/>
      <c r="I12" s="95"/>
      <c r="J12" s="133">
        <v>5</v>
      </c>
      <c r="K12" s="137"/>
      <c r="L12" s="137"/>
      <c r="M12" s="95"/>
      <c r="N12" s="91"/>
      <c r="O12" s="91"/>
      <c r="Q12" s="138" t="e">
        <f xml:space="preserve"> "For comparision, the median earnings in " &amp; Country &amp; " of an employee of this age is " &amp; Currency &amp; " " &amp; TEXT(B19,"#,###.-") &amp; " based on Eurostat data"</f>
        <v>#N/A</v>
      </c>
      <c r="R12" s="132"/>
      <c r="S12" s="132"/>
      <c r="T12" s="132"/>
      <c r="U12" s="132"/>
      <c r="V12" s="132"/>
      <c r="W12" s="132"/>
      <c r="X12" s="132"/>
    </row>
    <row r="13" spans="1:24" s="90" customFormat="1" x14ac:dyDescent="0.25">
      <c r="A13" s="89"/>
      <c r="B13" s="89"/>
      <c r="C13" s="89"/>
      <c r="E13" s="95"/>
      <c r="F13" s="95" t="s">
        <v>356</v>
      </c>
      <c r="G13" s="139"/>
      <c r="H13" s="139"/>
      <c r="I13" s="95"/>
      <c r="J13" s="191">
        <v>65</v>
      </c>
      <c r="K13" s="137"/>
      <c r="L13" s="137"/>
      <c r="M13" s="95"/>
      <c r="N13" s="91"/>
      <c r="O13" s="91"/>
      <c r="P13" s="132"/>
      <c r="R13" s="132"/>
      <c r="S13" s="132"/>
      <c r="T13" s="132"/>
      <c r="U13" s="132"/>
      <c r="V13" s="132"/>
      <c r="W13" s="132"/>
      <c r="X13" s="132"/>
    </row>
    <row r="14" spans="1:24" s="90" customFormat="1" x14ac:dyDescent="0.25">
      <c r="A14" s="89"/>
      <c r="B14" s="89"/>
      <c r="C14" s="89"/>
      <c r="E14" s="95"/>
      <c r="F14" s="95" t="s">
        <v>59</v>
      </c>
      <c r="G14" s="95"/>
      <c r="H14" s="95"/>
      <c r="I14" s="95"/>
      <c r="J14" s="133">
        <f>Pension_age-CurrentYearsToRetirement</f>
        <v>60</v>
      </c>
      <c r="K14" s="137"/>
      <c r="L14" s="137"/>
      <c r="M14" s="95"/>
      <c r="N14" s="91"/>
      <c r="O14" s="91"/>
      <c r="P14" s="132"/>
      <c r="Q14" s="140"/>
      <c r="R14" s="132"/>
      <c r="S14" s="132"/>
      <c r="T14" s="132"/>
      <c r="U14" s="132"/>
      <c r="V14" s="132"/>
      <c r="W14" s="132"/>
      <c r="X14" s="132"/>
    </row>
    <row r="15" spans="1:24" s="90" customFormat="1" x14ac:dyDescent="0.25">
      <c r="A15" s="89"/>
      <c r="B15" s="89"/>
      <c r="C15" s="89"/>
      <c r="E15" s="95"/>
      <c r="F15" s="95"/>
      <c r="G15" s="95"/>
      <c r="H15" s="95"/>
      <c r="I15" s="135"/>
      <c r="J15" s="135"/>
      <c r="K15" s="137"/>
      <c r="L15" s="137"/>
      <c r="M15" s="95"/>
      <c r="N15" s="91"/>
      <c r="O15" s="91"/>
      <c r="P15" s="136"/>
      <c r="Q15" s="132"/>
      <c r="R15" s="132"/>
      <c r="S15" s="132"/>
      <c r="T15" s="132"/>
      <c r="U15" s="132"/>
      <c r="V15" s="132"/>
      <c r="W15" s="132"/>
      <c r="X15" s="132"/>
    </row>
    <row r="16" spans="1:24" s="90" customFormat="1" x14ac:dyDescent="0.25">
      <c r="A16" s="89"/>
      <c r="B16" s="89"/>
      <c r="C16" s="89"/>
      <c r="E16" s="95"/>
      <c r="F16" s="95" t="s">
        <v>127</v>
      </c>
      <c r="G16" s="95"/>
      <c r="H16" s="95"/>
      <c r="I16" s="95"/>
      <c r="J16" s="367"/>
      <c r="K16" s="368"/>
      <c r="L16" s="368"/>
      <c r="M16" s="135"/>
      <c r="N16" s="128"/>
      <c r="O16" s="128"/>
      <c r="P16" s="132"/>
      <c r="R16" s="132"/>
      <c r="S16" s="132"/>
      <c r="T16" s="132"/>
      <c r="U16" s="132"/>
      <c r="V16" s="132"/>
      <c r="W16" s="132"/>
      <c r="X16" s="132"/>
    </row>
    <row r="17" spans="1:24" s="90" customFormat="1" x14ac:dyDescent="0.25">
      <c r="A17" s="89"/>
      <c r="B17" s="89"/>
      <c r="C17" s="89"/>
      <c r="E17" s="95"/>
      <c r="F17" s="95" t="s">
        <v>150</v>
      </c>
      <c r="G17" s="95"/>
      <c r="H17" s="95"/>
      <c r="I17" s="95"/>
      <c r="J17" s="369"/>
      <c r="K17" s="370"/>
      <c r="L17" s="370"/>
      <c r="M17" s="135"/>
      <c r="N17" s="128"/>
      <c r="O17" s="128"/>
      <c r="P17" s="132"/>
      <c r="Q17" s="132"/>
      <c r="R17" s="132"/>
      <c r="S17" s="132"/>
      <c r="T17" s="132"/>
      <c r="U17" s="132"/>
      <c r="V17" s="141"/>
      <c r="W17" s="132"/>
      <c r="X17" s="132"/>
    </row>
    <row r="18" spans="1:24" s="90" customFormat="1" x14ac:dyDescent="0.25">
      <c r="A18" s="89"/>
      <c r="B18" s="89"/>
      <c r="C18" s="89"/>
      <c r="E18" s="95"/>
      <c r="F18" s="95"/>
      <c r="G18" s="95"/>
      <c r="H18" s="95"/>
      <c r="I18" s="142"/>
      <c r="J18" s="142"/>
      <c r="K18" s="143"/>
      <c r="L18" s="143"/>
      <c r="M18" s="95"/>
      <c r="N18" s="144"/>
      <c r="O18" s="144"/>
      <c r="P18" s="136"/>
      <c r="Q18" s="132"/>
      <c r="R18" s="132"/>
      <c r="S18" s="132"/>
      <c r="T18" s="132"/>
      <c r="U18" s="132"/>
      <c r="V18" s="141"/>
      <c r="W18" s="132"/>
      <c r="X18" s="132"/>
    </row>
    <row r="19" spans="1:24" s="90" customFormat="1" x14ac:dyDescent="0.25">
      <c r="A19" s="89" t="s">
        <v>63</v>
      </c>
      <c r="B19" s="145" t="e">
        <f>INDEX(AverageWages,MATCH(Age,CareerAge,0),MATCH(CountryAbbrev,CareerCountries,0))</f>
        <v>#N/A</v>
      </c>
      <c r="C19" s="145"/>
      <c r="E19" s="95"/>
      <c r="F19" s="146" t="s">
        <v>355</v>
      </c>
      <c r="G19" s="95"/>
      <c r="H19" s="95"/>
      <c r="I19" s="95"/>
      <c r="J19" s="117">
        <v>35000</v>
      </c>
      <c r="K19" s="95"/>
      <c r="L19" s="95"/>
      <c r="M19" s="95"/>
      <c r="N19" s="144"/>
      <c r="O19" s="144"/>
      <c r="P19" s="132"/>
      <c r="Q19" s="141"/>
      <c r="R19" s="132"/>
      <c r="S19" s="132"/>
      <c r="T19" s="132"/>
      <c r="U19" s="132"/>
      <c r="V19" s="132"/>
      <c r="W19" s="132"/>
      <c r="X19" s="132"/>
    </row>
    <row r="20" spans="1:24" s="90" customFormat="1" x14ac:dyDescent="0.25">
      <c r="A20" s="89"/>
      <c r="B20" s="89"/>
      <c r="C20" s="89"/>
      <c r="E20" s="95"/>
      <c r="F20" s="95"/>
      <c r="G20" s="95"/>
      <c r="H20" s="95"/>
      <c r="I20" s="95"/>
      <c r="J20" s="95"/>
      <c r="K20" s="147"/>
      <c r="L20" s="95"/>
      <c r="M20" s="147"/>
      <c r="N20" s="144"/>
      <c r="O20" s="144"/>
      <c r="P20" s="132"/>
      <c r="Q20" s="141"/>
      <c r="R20" s="132"/>
      <c r="S20" s="132"/>
      <c r="T20" s="132"/>
      <c r="U20" s="132"/>
      <c r="V20" s="132"/>
      <c r="W20" s="132"/>
      <c r="X20" s="132"/>
    </row>
    <row r="21" spans="1:24" s="90" customFormat="1" x14ac:dyDescent="0.25">
      <c r="A21" s="89"/>
      <c r="B21" s="89"/>
      <c r="C21" s="89"/>
      <c r="E21" s="95"/>
      <c r="F21" s="95" t="s">
        <v>148</v>
      </c>
      <c r="G21" s="95"/>
      <c r="H21" s="95"/>
      <c r="I21" s="95"/>
      <c r="J21" s="192">
        <v>15000</v>
      </c>
      <c r="K21" s="95"/>
      <c r="L21" s="137"/>
      <c r="M21" s="95"/>
      <c r="N21" s="144"/>
      <c r="O21" s="144"/>
      <c r="P21" s="132"/>
      <c r="Q21" s="132"/>
      <c r="R21" s="132"/>
      <c r="S21" s="132"/>
      <c r="T21" s="132"/>
      <c r="U21" s="132"/>
      <c r="V21" s="132"/>
      <c r="W21" s="132"/>
      <c r="X21" s="132"/>
    </row>
    <row r="22" spans="1:24" s="90" customFormat="1" ht="15" customHeight="1" x14ac:dyDescent="0.25">
      <c r="A22" s="89"/>
      <c r="B22" s="89"/>
      <c r="C22" s="89"/>
      <c r="E22" s="95"/>
      <c r="F22" s="95"/>
      <c r="G22" s="95"/>
      <c r="H22" s="95"/>
      <c r="I22" s="95"/>
      <c r="J22" s="110"/>
      <c r="K22" s="110"/>
      <c r="L22" s="110"/>
      <c r="M22" s="95"/>
      <c r="N22" s="144"/>
      <c r="O22" s="144"/>
      <c r="P22" s="132"/>
      <c r="Q22" s="132"/>
      <c r="R22" s="132"/>
      <c r="S22" s="132"/>
      <c r="T22" s="132"/>
      <c r="U22" s="132"/>
      <c r="V22" s="132"/>
      <c r="W22" s="132"/>
      <c r="X22" s="132"/>
    </row>
    <row r="23" spans="1:24" s="90" customFormat="1" ht="30" x14ac:dyDescent="0.25">
      <c r="A23" s="89"/>
      <c r="B23" s="89"/>
      <c r="C23" s="89"/>
      <c r="E23" s="95"/>
      <c r="F23" s="123" t="s">
        <v>153</v>
      </c>
      <c r="G23" s="95"/>
      <c r="H23" s="95"/>
      <c r="I23" s="95"/>
      <c r="J23" s="110"/>
      <c r="K23" s="148"/>
      <c r="L23" s="195" t="s">
        <v>551</v>
      </c>
      <c r="M23" s="95"/>
      <c r="N23" s="144"/>
      <c r="O23" s="144"/>
      <c r="P23" s="132"/>
      <c r="Q23" s="132"/>
      <c r="R23" s="132"/>
      <c r="S23" s="132"/>
      <c r="T23" s="132"/>
      <c r="U23" s="132"/>
      <c r="V23" s="132"/>
      <c r="W23" s="132"/>
      <c r="X23" s="132"/>
    </row>
    <row r="24" spans="1:24" s="90" customFormat="1" x14ac:dyDescent="0.25">
      <c r="A24" s="89" t="s">
        <v>155</v>
      </c>
      <c r="B24" s="56" t="b">
        <v>0</v>
      </c>
      <c r="C24" s="89"/>
      <c r="E24" s="95"/>
      <c r="F24" s="95"/>
      <c r="G24" s="146" t="s">
        <v>151</v>
      </c>
      <c r="H24" s="146"/>
      <c r="I24" s="111"/>
      <c r="J24" s="56">
        <v>10000</v>
      </c>
      <c r="K24" s="149" t="s">
        <v>552</v>
      </c>
      <c r="L24" s="116" t="s">
        <v>55</v>
      </c>
      <c r="M24" s="95"/>
      <c r="N24" s="144"/>
      <c r="O24" s="144"/>
      <c r="P24" s="150"/>
      <c r="Q24" s="141"/>
      <c r="R24" s="132"/>
      <c r="S24" s="132"/>
      <c r="T24" s="132"/>
      <c r="U24" s="132"/>
      <c r="V24" s="141"/>
      <c r="W24" s="132"/>
      <c r="X24" s="132"/>
    </row>
    <row r="25" spans="1:24" s="90" customFormat="1" ht="15" customHeight="1" x14ac:dyDescent="0.25">
      <c r="A25" s="89" t="s">
        <v>156</v>
      </c>
      <c r="B25" s="56" t="b">
        <v>0</v>
      </c>
      <c r="C25" s="89"/>
      <c r="E25" s="95"/>
      <c r="F25" s="95"/>
      <c r="G25" s="146" t="s">
        <v>154</v>
      </c>
      <c r="H25" s="146"/>
      <c r="I25" s="111"/>
      <c r="J25" s="56">
        <v>100000</v>
      </c>
      <c r="K25" s="149" t="s">
        <v>552</v>
      </c>
      <c r="L25" s="116" t="s">
        <v>55</v>
      </c>
      <c r="M25" s="95"/>
      <c r="N25" s="144"/>
      <c r="O25" s="144"/>
      <c r="P25" s="132"/>
      <c r="Q25" s="141"/>
      <c r="R25" s="132"/>
      <c r="S25" s="132"/>
      <c r="T25" s="132"/>
      <c r="U25" s="132"/>
      <c r="V25" s="141"/>
      <c r="W25" s="132"/>
      <c r="X25" s="132"/>
    </row>
    <row r="26" spans="1:24" s="90" customFormat="1" ht="15" customHeight="1" x14ac:dyDescent="0.25">
      <c r="A26" s="89"/>
      <c r="B26" s="89"/>
      <c r="C26" s="89"/>
      <c r="E26" s="95"/>
      <c r="F26" s="95"/>
      <c r="G26" s="95"/>
      <c r="H26" s="95"/>
      <c r="I26" s="95"/>
      <c r="J26" s="95"/>
      <c r="K26" s="95"/>
      <c r="L26" s="110"/>
      <c r="M26" s="95"/>
      <c r="N26" s="144"/>
      <c r="O26" s="144"/>
      <c r="P26" s="141"/>
      <c r="Q26" s="151"/>
      <c r="R26" s="132"/>
      <c r="S26" s="132"/>
      <c r="T26" s="132"/>
      <c r="U26" s="132"/>
      <c r="V26" s="141"/>
      <c r="W26" s="132"/>
      <c r="X26" s="132"/>
    </row>
    <row r="27" spans="1:24" s="90" customFormat="1" ht="30" x14ac:dyDescent="0.25">
      <c r="A27" s="89"/>
      <c r="B27" s="89"/>
      <c r="C27" s="89"/>
      <c r="E27" s="95"/>
      <c r="F27" s="123" t="s">
        <v>556</v>
      </c>
      <c r="G27" s="95"/>
      <c r="H27" s="95"/>
      <c r="I27" s="95"/>
      <c r="J27" s="95"/>
      <c r="K27" s="95"/>
      <c r="L27" s="168" t="s">
        <v>578</v>
      </c>
      <c r="M27" s="95"/>
      <c r="N27" s="144"/>
      <c r="O27" s="144"/>
      <c r="P27" s="141"/>
      <c r="Q27" s="151"/>
      <c r="R27" s="132"/>
      <c r="S27" s="132"/>
      <c r="T27" s="132"/>
      <c r="U27" s="132"/>
      <c r="V27" s="141"/>
      <c r="W27" s="132"/>
      <c r="X27" s="132"/>
    </row>
    <row r="28" spans="1:24" s="90" customFormat="1" ht="15" customHeight="1" x14ac:dyDescent="0.25">
      <c r="A28" s="89"/>
      <c r="B28" s="89"/>
      <c r="C28" s="89"/>
      <c r="E28" s="95"/>
      <c r="F28" s="95"/>
      <c r="G28" s="152" t="s">
        <v>553</v>
      </c>
      <c r="H28" s="95"/>
      <c r="I28" s="95"/>
      <c r="J28" s="153">
        <f t="array" aca="1" ref="J28" ca="1">MMULT(OFFSET(AssetWeightsBaseline,0,0,1,NumberOfAssets),1*(OFFSET(tblAssetMenuSpecs[[#Headers],[Asset category]],1,0,NumberOfAssets,1)="Equities"))*Initial_pension_wealth</f>
        <v>0</v>
      </c>
      <c r="K28" s="149" t="s">
        <v>552</v>
      </c>
      <c r="L28" s="192"/>
      <c r="M28" s="95"/>
      <c r="N28" s="144"/>
      <c r="O28" s="144"/>
      <c r="P28" s="141"/>
      <c r="Q28" s="151"/>
      <c r="R28" s="132"/>
      <c r="S28" s="132"/>
      <c r="T28" s="132"/>
      <c r="U28" s="132"/>
      <c r="V28" s="141"/>
      <c r="W28" s="132"/>
      <c r="X28" s="132"/>
    </row>
    <row r="29" spans="1:24" s="90" customFormat="1" ht="15" customHeight="1" x14ac:dyDescent="0.25">
      <c r="A29" s="89"/>
      <c r="B29" s="89"/>
      <c r="C29" s="89"/>
      <c r="E29" s="95"/>
      <c r="F29" s="95"/>
      <c r="G29" s="152" t="s">
        <v>554</v>
      </c>
      <c r="H29" s="95"/>
      <c r="I29" s="95"/>
      <c r="J29" s="153">
        <f t="array" aca="1" ref="J29" ca="1">MMULT(OFFSET(AssetWeightsBaseline,0,0,1,NumberOfAssets),1*(OFFSET(tblAssetMenuSpecs[[#Headers],[Asset category]],1,0,NumberOfAssets,1)="Fixed income"))*Initial_pension_wealth</f>
        <v>15000</v>
      </c>
      <c r="K29" s="149" t="s">
        <v>552</v>
      </c>
      <c r="L29" s="192"/>
      <c r="M29" s="95"/>
      <c r="N29" s="144"/>
      <c r="O29" s="144"/>
      <c r="P29" s="141"/>
      <c r="Q29" s="151"/>
      <c r="R29" s="132"/>
      <c r="S29" s="132"/>
      <c r="T29" s="132"/>
      <c r="U29" s="132"/>
      <c r="V29" s="141"/>
      <c r="W29" s="132"/>
      <c r="X29" s="132"/>
    </row>
    <row r="30" spans="1:24" s="90" customFormat="1" ht="15" customHeight="1" x14ac:dyDescent="0.25">
      <c r="A30" s="89"/>
      <c r="B30" s="89"/>
      <c r="C30" s="89"/>
      <c r="E30" s="95"/>
      <c r="F30" s="95"/>
      <c r="G30" s="152" t="s">
        <v>555</v>
      </c>
      <c r="H30" s="95"/>
      <c r="I30" s="95"/>
      <c r="J30" s="153">
        <f t="array" aca="1" ref="J30" ca="1">MMULT(OFFSET(AssetWeightsBaseline,0,0,1,NumberOfAssets),1*(OFFSET(tblAssetMenuSpecs[[#Headers],[Spread type]],1,0,NumberOfAssets,1)&lt;&gt;0))*Initial_pension_wealth</f>
        <v>0</v>
      </c>
      <c r="K30" s="149" t="s">
        <v>552</v>
      </c>
      <c r="L30" s="192"/>
      <c r="M30" s="95"/>
      <c r="N30" s="144"/>
      <c r="O30" s="144"/>
      <c r="P30" s="141"/>
      <c r="Q30" s="151"/>
      <c r="R30" s="132"/>
      <c r="S30" s="132"/>
      <c r="T30" s="132"/>
      <c r="U30" s="132"/>
      <c r="V30" s="141"/>
      <c r="W30" s="132"/>
      <c r="X30" s="132"/>
    </row>
    <row r="31" spans="1:24" s="90" customFormat="1" ht="15" customHeight="1" x14ac:dyDescent="0.25">
      <c r="A31" s="89"/>
      <c r="B31" s="89"/>
      <c r="C31" s="89"/>
      <c r="E31" s="95"/>
      <c r="F31" s="95"/>
      <c r="G31" s="152" t="s">
        <v>557</v>
      </c>
      <c r="H31" s="95"/>
      <c r="I31" s="95"/>
      <c r="J31" s="153">
        <f t="array" aca="1" ref="J31" ca="1">MMULT(OFFSET(AssetWeightsBaseline,0,0,1,NumberOfAssets),1*NOT(OFFSET(tblAssetMenuSpecs[[#Headers],[Inflation linked]],1,0,NumberOfAssets,1))*(OFFSET(tblAssetMenuSpecs[[#Headers],[Asset category]],1,0,NumberOfAssets,1)="Fixed income"))*Initial_pension_wealth</f>
        <v>15000</v>
      </c>
      <c r="K31" s="149" t="s">
        <v>552</v>
      </c>
      <c r="L31" s="192"/>
      <c r="M31" s="95"/>
      <c r="N31" s="144"/>
      <c r="O31" s="144"/>
      <c r="P31" s="141"/>
      <c r="Q31" s="151"/>
      <c r="R31" s="132"/>
      <c r="S31" s="132"/>
      <c r="T31" s="132"/>
      <c r="U31" s="132"/>
      <c r="V31" s="141"/>
      <c r="W31" s="132"/>
      <c r="X31" s="132"/>
    </row>
    <row r="32" spans="1:24" s="90" customFormat="1" ht="15" customHeight="1" x14ac:dyDescent="0.25">
      <c r="A32" s="89" t="s">
        <v>592</v>
      </c>
      <c r="B32" s="216">
        <f>IF(ActiveMarketScenarioName="Adverse",$L$32,0)</f>
        <v>0</v>
      </c>
      <c r="C32" s="89"/>
      <c r="E32" s="95"/>
      <c r="F32" s="95"/>
      <c r="G32" s="95"/>
      <c r="H32" s="95"/>
      <c r="I32" s="95"/>
      <c r="J32" s="95"/>
      <c r="K32" s="139" t="s">
        <v>123</v>
      </c>
      <c r="L32" s="153">
        <f>SUM(L28:L31)</f>
        <v>0</v>
      </c>
      <c r="M32" s="95"/>
      <c r="N32" s="144"/>
      <c r="O32" s="144"/>
      <c r="P32" s="141"/>
      <c r="Q32" s="151"/>
      <c r="R32" s="132"/>
      <c r="S32" s="132"/>
      <c r="T32" s="132"/>
      <c r="U32" s="132"/>
      <c r="V32" s="141"/>
      <c r="W32" s="132"/>
      <c r="X32" s="132"/>
    </row>
    <row r="33" spans="1:57" s="90" customFormat="1" ht="15" customHeight="1" x14ac:dyDescent="0.25">
      <c r="A33" s="89"/>
      <c r="B33" s="89"/>
      <c r="C33" s="89"/>
      <c r="E33" s="95"/>
      <c r="F33" s="95"/>
      <c r="G33" s="95"/>
      <c r="H33" s="95"/>
      <c r="I33" s="95"/>
      <c r="J33" s="95"/>
      <c r="K33" s="95"/>
      <c r="L33" s="110"/>
      <c r="M33" s="95"/>
      <c r="N33" s="144"/>
      <c r="O33" s="144"/>
      <c r="P33" s="141"/>
      <c r="Q33" s="151"/>
      <c r="R33" s="132"/>
      <c r="S33" s="132"/>
      <c r="T33" s="132"/>
      <c r="U33" s="132"/>
      <c r="V33" s="141"/>
      <c r="W33" s="132"/>
      <c r="X33" s="132"/>
    </row>
    <row r="34" spans="1:57" s="90" customFormat="1" ht="15" customHeight="1" thickBot="1" x14ac:dyDescent="0.3">
      <c r="A34" s="89"/>
      <c r="B34" s="89"/>
      <c r="C34" s="89"/>
      <c r="E34" s="91"/>
      <c r="F34" s="91"/>
      <c r="G34" s="91"/>
      <c r="H34" s="91"/>
      <c r="I34" s="91"/>
      <c r="J34" s="91"/>
      <c r="K34" s="91"/>
      <c r="L34" s="128"/>
      <c r="M34" s="91"/>
      <c r="N34" s="144"/>
      <c r="O34" s="144"/>
      <c r="P34" s="141"/>
      <c r="Q34" s="141"/>
      <c r="R34" s="132"/>
      <c r="S34" s="132"/>
      <c r="T34" s="132"/>
      <c r="U34" s="132"/>
      <c r="V34" s="141"/>
      <c r="W34" s="132"/>
      <c r="X34" s="132"/>
    </row>
    <row r="35" spans="1:57" s="90" customFormat="1" x14ac:dyDescent="0.25">
      <c r="A35" s="89"/>
      <c r="B35" s="89"/>
      <c r="C35" s="89"/>
      <c r="E35" s="154"/>
      <c r="F35" s="155"/>
      <c r="G35" s="155"/>
      <c r="H35" s="155"/>
      <c r="I35" s="155"/>
      <c r="J35" s="155"/>
      <c r="K35" s="155"/>
      <c r="L35" s="156"/>
      <c r="M35" s="157"/>
      <c r="N35" s="91"/>
      <c r="O35" s="91"/>
      <c r="P35" s="150"/>
      <c r="Q35" s="132"/>
      <c r="R35" s="132"/>
      <c r="S35" s="132"/>
      <c r="T35" s="132"/>
      <c r="U35" s="132"/>
      <c r="V35" s="132"/>
      <c r="W35" s="132"/>
      <c r="X35" s="132"/>
    </row>
    <row r="36" spans="1:57" s="90" customFormat="1" ht="15" customHeight="1" x14ac:dyDescent="0.35">
      <c r="A36" s="89"/>
      <c r="B36" s="89"/>
      <c r="C36" s="89"/>
      <c r="E36" s="158"/>
      <c r="F36" s="365" t="s">
        <v>172</v>
      </c>
      <c r="G36" s="365"/>
      <c r="H36" s="365"/>
      <c r="I36" s="365"/>
      <c r="J36" s="365"/>
      <c r="K36" s="365"/>
      <c r="L36" s="365"/>
      <c r="M36" s="159"/>
      <c r="N36" s="91"/>
      <c r="O36" s="91"/>
      <c r="P36" s="132"/>
      <c r="Q36" s="138"/>
      <c r="R36" s="132"/>
      <c r="S36" s="132"/>
      <c r="T36" s="132"/>
      <c r="U36" s="132"/>
      <c r="V36" s="132"/>
      <c r="W36" s="132"/>
      <c r="X36" s="132"/>
    </row>
    <row r="37" spans="1:57" s="90" customFormat="1" ht="15" customHeight="1" x14ac:dyDescent="0.25">
      <c r="A37" s="89"/>
      <c r="B37" s="89"/>
      <c r="C37" s="89"/>
      <c r="E37" s="160"/>
      <c r="F37" s="132"/>
      <c r="G37" s="132"/>
      <c r="H37" s="132"/>
      <c r="I37" s="132"/>
      <c r="J37" s="132"/>
      <c r="K37" s="141"/>
      <c r="L37" s="141"/>
      <c r="M37" s="159"/>
      <c r="N37" s="91"/>
      <c r="O37" s="91"/>
      <c r="P37" s="132"/>
      <c r="Q37" s="132"/>
      <c r="R37" s="132"/>
      <c r="S37" s="132"/>
      <c r="T37" s="132"/>
      <c r="U37" s="132"/>
      <c r="V37" s="132"/>
      <c r="W37" s="132"/>
      <c r="X37" s="132"/>
    </row>
    <row r="38" spans="1:57" s="90" customFormat="1" ht="15" customHeight="1" x14ac:dyDescent="0.25">
      <c r="A38" s="115" t="s">
        <v>170</v>
      </c>
      <c r="B38" s="119" t="b">
        <f ca="1">AND(A46:B46)</f>
        <v>1</v>
      </c>
      <c r="C38" s="119"/>
      <c r="E38" s="160"/>
      <c r="F38" s="132">
        <f ca="1">1*INT(B38)</f>
        <v>1</v>
      </c>
      <c r="G38" s="151" t="s">
        <v>168</v>
      </c>
      <c r="H38" s="151"/>
      <c r="I38" s="132"/>
      <c r="J38" s="132"/>
      <c r="K38" s="141"/>
      <c r="L38" s="141"/>
      <c r="M38" s="159"/>
      <c r="N38" s="91"/>
      <c r="O38" s="91"/>
      <c r="P38" s="132"/>
      <c r="Q38" s="132"/>
      <c r="R38" s="132"/>
      <c r="S38" s="132"/>
      <c r="T38" s="132"/>
      <c r="U38" s="132"/>
      <c r="V38" s="132"/>
      <c r="W38" s="132"/>
      <c r="X38" s="132"/>
    </row>
    <row r="39" spans="1:57" ht="15" customHeight="1" x14ac:dyDescent="0.25">
      <c r="A39" s="115" t="s">
        <v>171</v>
      </c>
      <c r="B39" s="89" t="b">
        <f>OR(NOT(IsFloorPensionBase),NOT(IsCapPensionBase),LevelCapPensionBase&gt;=LevelFloorPensionBase)</f>
        <v>1</v>
      </c>
      <c r="C39" s="89"/>
      <c r="E39" s="158"/>
      <c r="F39" s="132">
        <f>1*INT(B39)</f>
        <v>1</v>
      </c>
      <c r="G39" s="132" t="s">
        <v>169</v>
      </c>
      <c r="H39" s="132"/>
      <c r="I39" s="132"/>
      <c r="J39" s="132"/>
      <c r="K39" s="141"/>
      <c r="L39" s="141"/>
      <c r="M39" s="159"/>
      <c r="P39" s="141"/>
      <c r="Q39" s="366"/>
      <c r="R39" s="366"/>
      <c r="S39" s="366"/>
      <c r="T39" s="366"/>
      <c r="U39" s="366"/>
      <c r="V39" s="141"/>
      <c r="W39" s="141"/>
      <c r="X39" s="141"/>
    </row>
    <row r="40" spans="1:57" ht="15" customHeight="1" thickBot="1" x14ac:dyDescent="0.3">
      <c r="E40" s="161"/>
      <c r="F40" s="162"/>
      <c r="G40" s="162"/>
      <c r="H40" s="162"/>
      <c r="I40" s="162"/>
      <c r="J40" s="162"/>
      <c r="K40" s="162"/>
      <c r="L40" s="162"/>
      <c r="M40" s="163"/>
      <c r="P40" s="141"/>
      <c r="Q40" s="366"/>
      <c r="R40" s="366"/>
      <c r="S40" s="366"/>
      <c r="T40" s="366"/>
      <c r="U40" s="366"/>
      <c r="V40" s="141"/>
      <c r="W40" s="141"/>
      <c r="X40" s="141"/>
    </row>
    <row r="41" spans="1:57" ht="15" customHeight="1" x14ac:dyDescent="0.25">
      <c r="A41" s="115" t="s">
        <v>173</v>
      </c>
      <c r="B41" s="119" t="b">
        <f ca="1">AND(B38:B39)</f>
        <v>1</v>
      </c>
      <c r="C41" s="119"/>
      <c r="E41" s="164"/>
      <c r="F41" s="141"/>
      <c r="G41" s="141"/>
      <c r="H41" s="141"/>
      <c r="I41" s="141"/>
      <c r="J41" s="141"/>
      <c r="K41" s="141"/>
      <c r="L41" s="141"/>
      <c r="M41" s="141"/>
      <c r="N41" s="165"/>
      <c r="O41" s="165"/>
      <c r="P41" s="165"/>
      <c r="Q41" s="165"/>
      <c r="R41" s="165"/>
    </row>
    <row r="42" spans="1:57" ht="15" customHeight="1" x14ac:dyDescent="0.25">
      <c r="A42" s="115"/>
      <c r="B42" s="119"/>
      <c r="C42" s="119"/>
      <c r="E42" s="164"/>
      <c r="F42" s="141"/>
      <c r="G42" s="141"/>
      <c r="H42" s="141"/>
      <c r="I42" s="141"/>
      <c r="J42" s="141"/>
      <c r="K42" s="141"/>
      <c r="L42" s="141"/>
      <c r="M42" s="141"/>
      <c r="N42" s="165"/>
      <c r="O42" s="165"/>
      <c r="P42" s="165"/>
      <c r="Q42" s="165"/>
      <c r="R42" s="165"/>
    </row>
    <row r="43" spans="1:57" ht="15" customHeight="1" x14ac:dyDescent="0.25">
      <c r="E43" s="166"/>
      <c r="K43" s="91"/>
      <c r="Q43" s="167" t="s">
        <v>548</v>
      </c>
      <c r="R43" s="168"/>
      <c r="S43" s="168"/>
      <c r="T43" s="168"/>
      <c r="U43" s="168"/>
      <c r="V43" s="168"/>
      <c r="W43" s="168"/>
      <c r="X43" s="168"/>
      <c r="Y43" s="168"/>
      <c r="Z43" s="168"/>
      <c r="AA43" s="168"/>
      <c r="AB43" s="168"/>
      <c r="AC43" s="168"/>
      <c r="AD43" s="168"/>
      <c r="AE43" s="168"/>
      <c r="AF43" s="168"/>
      <c r="AG43" s="168"/>
      <c r="AH43" s="168"/>
      <c r="AI43" s="168"/>
      <c r="AJ43" s="168"/>
      <c r="AL43" s="167" t="s">
        <v>547</v>
      </c>
      <c r="AM43" s="168"/>
      <c r="AN43" s="168"/>
      <c r="AO43" s="168"/>
      <c r="AP43" s="168"/>
      <c r="AQ43" s="168"/>
      <c r="AR43" s="168"/>
      <c r="AS43" s="168"/>
      <c r="AT43" s="168"/>
      <c r="AU43" s="168"/>
      <c r="AV43" s="168"/>
      <c r="AW43" s="168"/>
      <c r="AX43" s="168"/>
      <c r="AY43" s="168"/>
      <c r="AZ43" s="168"/>
      <c r="BA43" s="168"/>
      <c r="BB43" s="168"/>
      <c r="BC43" s="168"/>
      <c r="BD43" s="168"/>
      <c r="BE43" s="168"/>
    </row>
    <row r="44" spans="1:57" s="90" customFormat="1" ht="30" x14ac:dyDescent="0.25">
      <c r="E44" s="170" t="s">
        <v>0</v>
      </c>
      <c r="F44" s="170" t="s">
        <v>59</v>
      </c>
      <c r="G44" s="170" t="s">
        <v>60</v>
      </c>
      <c r="H44" s="170" t="s">
        <v>388</v>
      </c>
      <c r="J44" s="364" t="s">
        <v>78</v>
      </c>
      <c r="K44" s="169"/>
      <c r="L44" s="363" t="s">
        <v>357</v>
      </c>
      <c r="M44" s="363"/>
      <c r="N44" s="91"/>
      <c r="O44" s="91"/>
      <c r="Q44" s="95" t="s">
        <v>147</v>
      </c>
      <c r="R44" s="95"/>
      <c r="S44" s="95"/>
      <c r="T44" s="95"/>
      <c r="U44" s="95"/>
      <c r="V44" s="95"/>
      <c r="W44" s="95"/>
      <c r="X44" s="95"/>
      <c r="Y44" s="95"/>
      <c r="Z44" s="95"/>
      <c r="AA44" s="95"/>
      <c r="AB44" s="95"/>
      <c r="AC44" s="95"/>
      <c r="AD44" s="95"/>
      <c r="AE44" s="95"/>
      <c r="AF44" s="95"/>
      <c r="AG44" s="95"/>
      <c r="AH44" s="95"/>
      <c r="AI44" s="95"/>
      <c r="AJ44" s="95"/>
      <c r="AL44" s="95" t="s">
        <v>147</v>
      </c>
      <c r="AM44" s="95"/>
      <c r="AN44" s="95"/>
      <c r="AO44" s="95"/>
      <c r="AP44" s="95"/>
      <c r="AQ44" s="95"/>
      <c r="AR44" s="95"/>
      <c r="AS44" s="95"/>
      <c r="AT44" s="95"/>
      <c r="AU44" s="95"/>
      <c r="AV44" s="95"/>
      <c r="AW44" s="95"/>
      <c r="AX44" s="95"/>
      <c r="AY44" s="95"/>
      <c r="AZ44" s="95"/>
      <c r="BA44" s="95"/>
      <c r="BB44" s="95"/>
      <c r="BC44" s="95"/>
      <c r="BD44" s="95"/>
      <c r="BE44" s="95"/>
    </row>
    <row r="45" spans="1:57" s="90" customFormat="1" ht="15" customHeight="1" x14ac:dyDescent="0.25">
      <c r="A45" s="89" t="s">
        <v>549</v>
      </c>
      <c r="B45" s="89" t="s">
        <v>550</v>
      </c>
      <c r="C45" s="89"/>
      <c r="E45" s="95"/>
      <c r="F45" s="95"/>
      <c r="G45" s="95"/>
      <c r="H45" s="95"/>
      <c r="J45" s="364"/>
      <c r="K45" s="169"/>
      <c r="L45" s="95"/>
      <c r="M45" s="95"/>
      <c r="N45" s="91"/>
      <c r="O45" s="91"/>
      <c r="Q45" s="196">
        <v>1</v>
      </c>
      <c r="R45" s="196">
        <v>2</v>
      </c>
      <c r="S45" s="196">
        <v>3</v>
      </c>
      <c r="T45" s="196">
        <v>4</v>
      </c>
      <c r="U45" s="196">
        <v>5</v>
      </c>
      <c r="V45" s="196">
        <v>6</v>
      </c>
      <c r="W45" s="196">
        <v>7</v>
      </c>
      <c r="X45" s="196">
        <v>8</v>
      </c>
      <c r="Y45" s="196">
        <v>9</v>
      </c>
      <c r="Z45" s="196">
        <v>10</v>
      </c>
      <c r="AA45" s="196">
        <v>11</v>
      </c>
      <c r="AB45" s="196">
        <v>12</v>
      </c>
      <c r="AC45" s="196">
        <v>13</v>
      </c>
      <c r="AD45" s="196">
        <v>14</v>
      </c>
      <c r="AE45" s="196">
        <v>15</v>
      </c>
      <c r="AF45" s="196">
        <v>16</v>
      </c>
      <c r="AG45" s="196">
        <v>17</v>
      </c>
      <c r="AH45" s="196">
        <v>18</v>
      </c>
      <c r="AI45" s="196">
        <v>19</v>
      </c>
      <c r="AJ45" s="196">
        <v>20</v>
      </c>
      <c r="AK45" s="197"/>
      <c r="AL45" s="196">
        <v>1</v>
      </c>
      <c r="AM45" s="196">
        <v>2</v>
      </c>
      <c r="AN45" s="196">
        <v>3</v>
      </c>
      <c r="AO45" s="196">
        <v>4</v>
      </c>
      <c r="AP45" s="196">
        <v>5</v>
      </c>
      <c r="AQ45" s="196">
        <v>6</v>
      </c>
      <c r="AR45" s="196">
        <v>7</v>
      </c>
      <c r="AS45" s="196">
        <v>8</v>
      </c>
      <c r="AT45" s="196">
        <v>9</v>
      </c>
      <c r="AU45" s="196">
        <v>10</v>
      </c>
      <c r="AV45" s="196">
        <v>11</v>
      </c>
      <c r="AW45" s="196">
        <v>12</v>
      </c>
      <c r="AX45" s="196">
        <v>13</v>
      </c>
      <c r="AY45" s="196">
        <v>14</v>
      </c>
      <c r="AZ45" s="196">
        <v>15</v>
      </c>
      <c r="BA45" s="196">
        <v>16</v>
      </c>
      <c r="BB45" s="196">
        <v>17</v>
      </c>
      <c r="BC45" s="196">
        <v>18</v>
      </c>
      <c r="BD45" s="196">
        <v>19</v>
      </c>
      <c r="BE45" s="196">
        <v>20</v>
      </c>
    </row>
    <row r="46" spans="1:57" s="90" customFormat="1" ht="30" x14ac:dyDescent="0.25">
      <c r="A46" s="171" t="b">
        <f ca="1">AND(OFFSET(A47,0,0,CurrentYearsToRetirement+1,1))</f>
        <v>1</v>
      </c>
      <c r="B46" s="171" t="b">
        <f ca="1">AND(OFFSET(B47,0,0,CurrentYearsToRetirement+1,1))</f>
        <v>1</v>
      </c>
      <c r="C46" s="89"/>
      <c r="E46" s="95"/>
      <c r="F46" s="95"/>
      <c r="G46" s="95"/>
      <c r="H46" s="200"/>
      <c r="J46" s="95"/>
      <c r="K46" s="91"/>
      <c r="L46" s="199" t="s">
        <v>149</v>
      </c>
      <c r="M46" s="199" t="s">
        <v>152</v>
      </c>
      <c r="N46" s="91"/>
      <c r="O46" s="91"/>
      <c r="Q46" s="176" t="str">
        <f>IF(Q45&lt;=NumberOfAssets,INDEX(tblAssetMenuSpecs[Asset name],Q45),"")</f>
        <v>Cash</v>
      </c>
      <c r="R46" s="176" t="str">
        <f>IF(R45&lt;=NumberOfAssets,INDEX(tblAssetMenuSpecs[Asset name],R45),"")</f>
        <v/>
      </c>
      <c r="S46" s="176" t="str">
        <f>IF(S45&lt;=NumberOfAssets,INDEX(tblAssetMenuSpecs[Asset name],S45),"")</f>
        <v/>
      </c>
      <c r="T46" s="176" t="str">
        <f>IF(T45&lt;=NumberOfAssets,INDEX(tblAssetMenuSpecs[Asset name],T45),"")</f>
        <v/>
      </c>
      <c r="U46" s="176" t="str">
        <f>IF(U45&lt;=NumberOfAssets,INDEX(tblAssetMenuSpecs[Asset name],U45),"")</f>
        <v/>
      </c>
      <c r="V46" s="176" t="str">
        <f>IF(V45&lt;=NumberOfAssets,INDEX(tblAssetMenuSpecs[Asset name],V45),"")</f>
        <v/>
      </c>
      <c r="W46" s="176" t="str">
        <f>IF(W45&lt;=NumberOfAssets,INDEX(tblAssetMenuSpecs[Asset name],W45),"")</f>
        <v/>
      </c>
      <c r="X46" s="176" t="str">
        <f>IF(X45&lt;=NumberOfAssets,INDEX(tblAssetMenuSpecs[Asset name],X45),"")</f>
        <v/>
      </c>
      <c r="Y46" s="176" t="str">
        <f>IF(Y45&lt;=NumberOfAssets,INDEX(tblAssetMenuSpecs[Asset name],Y45),"")</f>
        <v/>
      </c>
      <c r="Z46" s="176" t="str">
        <f>IF(Z45&lt;=NumberOfAssets,INDEX(tblAssetMenuSpecs[Asset name],Z45),"")</f>
        <v/>
      </c>
      <c r="AA46" s="176" t="str">
        <f>IF(AA45&lt;=NumberOfAssets,INDEX(tblAssetMenuSpecs[Asset name],AA45),"")</f>
        <v/>
      </c>
      <c r="AB46" s="176" t="str">
        <f>IF(AB45&lt;=NumberOfAssets,INDEX(tblAssetMenuSpecs[Asset name],AB45),"")</f>
        <v/>
      </c>
      <c r="AC46" s="176" t="str">
        <f>IF(AC45&lt;=NumberOfAssets,INDEX(tblAssetMenuSpecs[Asset name],AC45),"")</f>
        <v/>
      </c>
      <c r="AD46" s="176" t="str">
        <f>IF(AD45&lt;=NumberOfAssets,INDEX(tblAssetMenuSpecs[Asset name],AD45),"")</f>
        <v/>
      </c>
      <c r="AE46" s="176" t="str">
        <f>IF(AE45&lt;=NumberOfAssets,INDEX(tblAssetMenuSpecs[Asset name],AE45),"")</f>
        <v/>
      </c>
      <c r="AF46" s="176" t="str">
        <f>IF(AF45&lt;=NumberOfAssets,INDEX(tblAssetMenuSpecs[Asset name],AF45),"")</f>
        <v/>
      </c>
      <c r="AG46" s="176" t="str">
        <f>IF(AG45&lt;=NumberOfAssets,INDEX(tblAssetMenuSpecs[Asset name],AG45),"")</f>
        <v/>
      </c>
      <c r="AH46" s="176" t="str">
        <f>IF(AH45&lt;=NumberOfAssets,INDEX(tblAssetMenuSpecs[Asset name],AH45),"")</f>
        <v/>
      </c>
      <c r="AI46" s="176" t="str">
        <f>IF(AI45&lt;=NumberOfAssets,INDEX(tblAssetMenuSpecs[Asset name],AI45),"")</f>
        <v/>
      </c>
      <c r="AJ46" s="176" t="str">
        <f>IF(AJ45&lt;=NumberOfAssets,INDEX(tblAssetMenuSpecs[Asset name],AJ45),"")</f>
        <v/>
      </c>
      <c r="AK46" s="172"/>
      <c r="AL46" s="176" t="str">
        <f>IF(AL45&lt;=NumberOfAssets,INDEX(tblAssetMenuSpecs[Asset name],AL45),"")</f>
        <v>Cash</v>
      </c>
      <c r="AM46" s="176" t="str">
        <f>IF(AM45&lt;=NumberOfAssets,INDEX(tblAssetMenuSpecs[Asset name],AM45),"")</f>
        <v/>
      </c>
      <c r="AN46" s="176" t="str">
        <f>IF(AN45&lt;=NumberOfAssets,INDEX(tblAssetMenuSpecs[Asset name],AN45),"")</f>
        <v/>
      </c>
      <c r="AO46" s="176" t="str">
        <f>IF(AO45&lt;=NumberOfAssets,INDEX(tblAssetMenuSpecs[Asset name],AO45),"")</f>
        <v/>
      </c>
      <c r="AP46" s="176" t="str">
        <f>IF(AP45&lt;=NumberOfAssets,INDEX(tblAssetMenuSpecs[Asset name],AP45),"")</f>
        <v/>
      </c>
      <c r="AQ46" s="176" t="str">
        <f>IF(AQ45&lt;=NumberOfAssets,INDEX(tblAssetMenuSpecs[Asset name],AQ45),"")</f>
        <v/>
      </c>
      <c r="AR46" s="176" t="str">
        <f>IF(AR45&lt;=NumberOfAssets,INDEX(tblAssetMenuSpecs[Asset name],AR45),"")</f>
        <v/>
      </c>
      <c r="AS46" s="176" t="str">
        <f>IF(AS45&lt;=NumberOfAssets,INDEX(tblAssetMenuSpecs[Asset name],AS45),"")</f>
        <v/>
      </c>
      <c r="AT46" s="176" t="str">
        <f>IF(AT45&lt;=NumberOfAssets,INDEX(tblAssetMenuSpecs[Asset name],AT45),"")</f>
        <v/>
      </c>
      <c r="AU46" s="176" t="str">
        <f>IF(AU45&lt;=NumberOfAssets,INDEX(tblAssetMenuSpecs[Asset name],AU45),"")</f>
        <v/>
      </c>
      <c r="AV46" s="176" t="str">
        <f>IF(AV45&lt;=NumberOfAssets,INDEX(tblAssetMenuSpecs[Asset name],AV45),"")</f>
        <v/>
      </c>
      <c r="AW46" s="176" t="str">
        <f>IF(AW45&lt;=NumberOfAssets,INDEX(tblAssetMenuSpecs[Asset name],AW45),"")</f>
        <v/>
      </c>
      <c r="AX46" s="176" t="str">
        <f>IF(AX45&lt;=NumberOfAssets,INDEX(tblAssetMenuSpecs[Asset name],AX45),"")</f>
        <v/>
      </c>
      <c r="AY46" s="176" t="str">
        <f>IF(AY45&lt;=NumberOfAssets,INDEX(tblAssetMenuSpecs[Asset name],AY45),"")</f>
        <v/>
      </c>
      <c r="AZ46" s="176" t="str">
        <f>IF(AZ45&lt;=NumberOfAssets,INDEX(tblAssetMenuSpecs[Asset name],AZ45),"")</f>
        <v/>
      </c>
      <c r="BA46" s="176" t="str">
        <f>IF(BA45&lt;=NumberOfAssets,INDEX(tblAssetMenuSpecs[Asset name],BA45),"")</f>
        <v/>
      </c>
      <c r="BB46" s="176" t="str">
        <f>IF(BB45&lt;=NumberOfAssets,INDEX(tblAssetMenuSpecs[Asset name],BB45),"")</f>
        <v/>
      </c>
      <c r="BC46" s="176" t="str">
        <f>IF(BC45&lt;=NumberOfAssets,INDEX(tblAssetMenuSpecs[Asset name],BC45),"")</f>
        <v/>
      </c>
      <c r="BD46" s="176" t="str">
        <f>IF(BD45&lt;=NumberOfAssets,INDEX(tblAssetMenuSpecs[Asset name],BD45),"")</f>
        <v/>
      </c>
      <c r="BE46" s="176" t="str">
        <f>IF(BE45&lt;=NumberOfAssets,INDEX(tblAssetMenuSpecs[Asset name],BE45),"")</f>
        <v/>
      </c>
    </row>
    <row r="47" spans="1:57" s="90" customFormat="1" ht="15" customHeight="1" x14ac:dyDescent="0.25">
      <c r="A47" s="177" t="b">
        <f t="array" ref="A47:A147">MMULT(AssetWeightsBaseline,TRANSPOSE(1*($Q$45:$AJ$45&lt;=NumberOfAssets)))=1</f>
        <v>1</v>
      </c>
      <c r="B47" s="178" t="b">
        <f t="array" ref="B47:B147">MMULT(AssetWeightsAdverse,TRANSPOSE(1*($AL$45:$BE$45&lt;=NumberOfAssets)))=1</f>
        <v>1</v>
      </c>
      <c r="C47" s="179" t="e">
        <f t="shared" ref="C47:C78" si="0">INDEX(CareerWageGrowthData,MATCH(MIN(F47, MAX(CareerAge)),CareerAge,0),MATCH(CountryAbbrev,CareerCountries,0))</f>
        <v>#N/A</v>
      </c>
      <c r="E47" s="180">
        <v>2018</v>
      </c>
      <c r="F47" s="100">
        <f>$J$14</f>
        <v>60</v>
      </c>
      <c r="G47" s="181">
        <f t="shared" ref="G47:G78" si="1">Pension_age-F47</f>
        <v>5</v>
      </c>
      <c r="H47" s="181">
        <f>Wage</f>
        <v>35000</v>
      </c>
      <c r="J47" s="193">
        <v>0.1</v>
      </c>
      <c r="K47" s="101"/>
      <c r="L47" s="183" t="e">
        <f t="shared" ref="L47:L78" si="2">IF($M47="",$C47,$M47)</f>
        <v>#N/A</v>
      </c>
      <c r="M47" s="88"/>
      <c r="N47" s="91"/>
      <c r="O47" s="91"/>
      <c r="P47" s="90">
        <v>0</v>
      </c>
      <c r="Q47" s="87">
        <v>1</v>
      </c>
      <c r="R47" s="87">
        <v>8.2949999999999996E-2</v>
      </c>
      <c r="S47" s="87">
        <v>0.35474000000000006</v>
      </c>
      <c r="T47" s="87">
        <v>0.13076000000000002</v>
      </c>
      <c r="U47" s="87">
        <v>0.17133999999999999</v>
      </c>
      <c r="V47" s="193">
        <v>0</v>
      </c>
      <c r="W47" s="193">
        <v>0</v>
      </c>
      <c r="X47" s="193">
        <v>0</v>
      </c>
      <c r="Y47" s="193">
        <v>0</v>
      </c>
      <c r="Z47" s="193">
        <v>0</v>
      </c>
      <c r="AA47" s="193">
        <v>0</v>
      </c>
      <c r="AB47" s="193">
        <v>0</v>
      </c>
      <c r="AC47" s="193">
        <v>0</v>
      </c>
      <c r="AD47" s="193">
        <v>0</v>
      </c>
      <c r="AE47" s="193">
        <v>0</v>
      </c>
      <c r="AF47" s="193">
        <v>0</v>
      </c>
      <c r="AG47" s="193">
        <v>0</v>
      </c>
      <c r="AH47" s="193">
        <v>0</v>
      </c>
      <c r="AI47" s="193">
        <v>0</v>
      </c>
      <c r="AJ47" s="193">
        <v>0</v>
      </c>
      <c r="AL47" s="186">
        <f t="shared" ref="AL47:AL78" si="3">Q47</f>
        <v>1</v>
      </c>
      <c r="AM47" s="186">
        <f t="shared" ref="AM47:AM78" si="4">R47</f>
        <v>8.2949999999999996E-2</v>
      </c>
      <c r="AN47" s="186">
        <f t="shared" ref="AN47:AN78" si="5">S47</f>
        <v>0.35474000000000006</v>
      </c>
      <c r="AO47" s="186">
        <f t="shared" ref="AO47:AO78" si="6">T47</f>
        <v>0.13076000000000002</v>
      </c>
      <c r="AP47" s="186">
        <f t="shared" ref="AP47:AP78" si="7">U47</f>
        <v>0.17133999999999999</v>
      </c>
      <c r="AQ47" s="186">
        <f t="shared" ref="AQ47:AQ78" si="8">V47</f>
        <v>0</v>
      </c>
      <c r="AR47" s="186">
        <f t="shared" ref="AR47:AR78" si="9">W47</f>
        <v>0</v>
      </c>
      <c r="AS47" s="186">
        <f t="shared" ref="AS47:AS78" si="10">X47</f>
        <v>0</v>
      </c>
      <c r="AT47" s="186">
        <f t="shared" ref="AT47:AT78" si="11">Y47</f>
        <v>0</v>
      </c>
      <c r="AU47" s="186">
        <f t="shared" ref="AU47:AU78" si="12">Z47</f>
        <v>0</v>
      </c>
      <c r="AV47" s="186">
        <f t="shared" ref="AV47:AV78" si="13">AA47</f>
        <v>0</v>
      </c>
      <c r="AW47" s="186">
        <f t="shared" ref="AW47:AW78" si="14">AB47</f>
        <v>0</v>
      </c>
      <c r="AX47" s="186">
        <f t="shared" ref="AX47:AX78" si="15">AC47</f>
        <v>0</v>
      </c>
      <c r="AY47" s="186">
        <f t="shared" ref="AY47:AY78" si="16">AD47</f>
        <v>0</v>
      </c>
      <c r="AZ47" s="186">
        <f t="shared" ref="AZ47:AZ78" si="17">AE47</f>
        <v>0</v>
      </c>
      <c r="BA47" s="186">
        <f t="shared" ref="BA47:BA78" si="18">AF47</f>
        <v>0</v>
      </c>
      <c r="BB47" s="186">
        <f t="shared" ref="BB47:BB78" si="19">AG47</f>
        <v>0</v>
      </c>
      <c r="BC47" s="186">
        <f t="shared" ref="BC47:BC78" si="20">AH47</f>
        <v>0</v>
      </c>
      <c r="BD47" s="186">
        <f t="shared" ref="BD47:BD110" si="21">AI47</f>
        <v>0</v>
      </c>
      <c r="BE47" s="186">
        <f t="shared" ref="BE47:BE110" si="22">AJ47</f>
        <v>0</v>
      </c>
    </row>
    <row r="48" spans="1:57" s="90" customFormat="1" ht="15" customHeight="1" x14ac:dyDescent="0.25">
      <c r="A48" s="187" t="b">
        <v>1</v>
      </c>
      <c r="B48" s="188" t="b">
        <v>1</v>
      </c>
      <c r="C48" s="179" t="e">
        <f t="shared" si="0"/>
        <v>#N/A</v>
      </c>
      <c r="E48" s="180">
        <v>2019</v>
      </c>
      <c r="F48" s="100">
        <f>F47+1</f>
        <v>61</v>
      </c>
      <c r="G48" s="181">
        <f t="shared" si="1"/>
        <v>4</v>
      </c>
      <c r="H48" s="181" t="e">
        <f t="shared" ref="H48:H79" si="23">H47*(1+L48)*(1+Projection_real_wage_growth)</f>
        <v>#N/A</v>
      </c>
      <c r="J48" s="193">
        <v>0.1</v>
      </c>
      <c r="K48" s="101"/>
      <c r="L48" s="183" t="e">
        <f t="shared" si="2"/>
        <v>#N/A</v>
      </c>
      <c r="M48" s="88"/>
      <c r="N48" s="91"/>
      <c r="O48" s="91"/>
      <c r="P48" s="90">
        <v>0</v>
      </c>
      <c r="Q48" s="87">
        <v>1</v>
      </c>
      <c r="R48" s="87">
        <v>7.4650000000000008E-2</v>
      </c>
      <c r="S48" s="87">
        <v>0.39398</v>
      </c>
      <c r="T48" s="87">
        <v>0.12452000000000001</v>
      </c>
      <c r="U48" s="87">
        <v>0.19217999999999999</v>
      </c>
      <c r="V48" s="193">
        <v>0</v>
      </c>
      <c r="W48" s="193">
        <v>0</v>
      </c>
      <c r="X48" s="193">
        <v>0</v>
      </c>
      <c r="Y48" s="193">
        <v>0</v>
      </c>
      <c r="Z48" s="193">
        <v>0</v>
      </c>
      <c r="AA48" s="193">
        <v>0</v>
      </c>
      <c r="AB48" s="193">
        <v>0</v>
      </c>
      <c r="AC48" s="193">
        <v>0</v>
      </c>
      <c r="AD48" s="193">
        <v>0</v>
      </c>
      <c r="AE48" s="193">
        <v>0</v>
      </c>
      <c r="AF48" s="193">
        <v>0</v>
      </c>
      <c r="AG48" s="193">
        <v>0</v>
      </c>
      <c r="AH48" s="193">
        <v>0</v>
      </c>
      <c r="AI48" s="193">
        <v>0</v>
      </c>
      <c r="AJ48" s="193">
        <v>0</v>
      </c>
      <c r="AL48" s="87">
        <f t="shared" si="3"/>
        <v>1</v>
      </c>
      <c r="AM48" s="87">
        <f t="shared" si="4"/>
        <v>7.4650000000000008E-2</v>
      </c>
      <c r="AN48" s="87">
        <f t="shared" si="5"/>
        <v>0.39398</v>
      </c>
      <c r="AO48" s="87">
        <f t="shared" si="6"/>
        <v>0.12452000000000001</v>
      </c>
      <c r="AP48" s="87">
        <f t="shared" si="7"/>
        <v>0.19217999999999999</v>
      </c>
      <c r="AQ48" s="87">
        <f t="shared" si="8"/>
        <v>0</v>
      </c>
      <c r="AR48" s="87">
        <f t="shared" si="9"/>
        <v>0</v>
      </c>
      <c r="AS48" s="87">
        <f t="shared" si="10"/>
        <v>0</v>
      </c>
      <c r="AT48" s="87">
        <f t="shared" si="11"/>
        <v>0</v>
      </c>
      <c r="AU48" s="87">
        <f t="shared" si="12"/>
        <v>0</v>
      </c>
      <c r="AV48" s="87">
        <f t="shared" si="13"/>
        <v>0</v>
      </c>
      <c r="AW48" s="87">
        <f t="shared" si="14"/>
        <v>0</v>
      </c>
      <c r="AX48" s="87">
        <f t="shared" si="15"/>
        <v>0</v>
      </c>
      <c r="AY48" s="87">
        <f t="shared" si="16"/>
        <v>0</v>
      </c>
      <c r="AZ48" s="87">
        <f t="shared" si="17"/>
        <v>0</v>
      </c>
      <c r="BA48" s="87">
        <f t="shared" si="18"/>
        <v>0</v>
      </c>
      <c r="BB48" s="87">
        <f t="shared" si="19"/>
        <v>0</v>
      </c>
      <c r="BC48" s="87">
        <f t="shared" si="20"/>
        <v>0</v>
      </c>
      <c r="BD48" s="87">
        <f t="shared" si="21"/>
        <v>0</v>
      </c>
      <c r="BE48" s="87">
        <f t="shared" si="22"/>
        <v>0</v>
      </c>
    </row>
    <row r="49" spans="1:57" s="90" customFormat="1" ht="15" customHeight="1" x14ac:dyDescent="0.25">
      <c r="A49" s="187" t="b">
        <v>1</v>
      </c>
      <c r="B49" s="188" t="b">
        <v>1</v>
      </c>
      <c r="C49" s="179" t="e">
        <f t="shared" si="0"/>
        <v>#N/A</v>
      </c>
      <c r="E49" s="180">
        <v>2020</v>
      </c>
      <c r="F49" s="100">
        <f t="shared" ref="F49:F112" si="24">F48+1</f>
        <v>62</v>
      </c>
      <c r="G49" s="181">
        <f t="shared" si="1"/>
        <v>3</v>
      </c>
      <c r="H49" s="181" t="e">
        <f t="shared" si="23"/>
        <v>#N/A</v>
      </c>
      <c r="J49" s="193">
        <v>0.1</v>
      </c>
      <c r="K49" s="101"/>
      <c r="L49" s="183" t="e">
        <f t="shared" si="2"/>
        <v>#N/A</v>
      </c>
      <c r="M49" s="88"/>
      <c r="N49" s="91"/>
      <c r="O49" s="91"/>
      <c r="P49" s="90">
        <v>0</v>
      </c>
      <c r="Q49" s="87">
        <v>1</v>
      </c>
      <c r="R49" s="87">
        <v>3.3399999999999999E-2</v>
      </c>
      <c r="S49" s="87">
        <v>3.848E-2</v>
      </c>
      <c r="T49" s="87">
        <v>4.752E-2</v>
      </c>
      <c r="U49" s="87">
        <v>0.76168000000000002</v>
      </c>
      <c r="V49" s="193">
        <v>0</v>
      </c>
      <c r="W49" s="193">
        <v>0</v>
      </c>
      <c r="X49" s="193">
        <v>0</v>
      </c>
      <c r="Y49" s="193">
        <v>0</v>
      </c>
      <c r="Z49" s="193">
        <v>0</v>
      </c>
      <c r="AA49" s="193">
        <v>0</v>
      </c>
      <c r="AB49" s="193">
        <v>0</v>
      </c>
      <c r="AC49" s="193">
        <v>0</v>
      </c>
      <c r="AD49" s="193">
        <v>0</v>
      </c>
      <c r="AE49" s="193">
        <v>0</v>
      </c>
      <c r="AF49" s="193">
        <v>0</v>
      </c>
      <c r="AG49" s="193">
        <v>0</v>
      </c>
      <c r="AH49" s="193">
        <v>0</v>
      </c>
      <c r="AI49" s="193">
        <v>0</v>
      </c>
      <c r="AJ49" s="193">
        <v>0</v>
      </c>
      <c r="AL49" s="87">
        <f t="shared" si="3"/>
        <v>1</v>
      </c>
      <c r="AM49" s="87">
        <f t="shared" si="4"/>
        <v>3.3399999999999999E-2</v>
      </c>
      <c r="AN49" s="87">
        <f t="shared" si="5"/>
        <v>3.848E-2</v>
      </c>
      <c r="AO49" s="87">
        <f t="shared" si="6"/>
        <v>4.752E-2</v>
      </c>
      <c r="AP49" s="87">
        <f t="shared" si="7"/>
        <v>0.76168000000000002</v>
      </c>
      <c r="AQ49" s="87">
        <f t="shared" si="8"/>
        <v>0</v>
      </c>
      <c r="AR49" s="87">
        <f t="shared" si="9"/>
        <v>0</v>
      </c>
      <c r="AS49" s="87">
        <f t="shared" si="10"/>
        <v>0</v>
      </c>
      <c r="AT49" s="87">
        <f t="shared" si="11"/>
        <v>0</v>
      </c>
      <c r="AU49" s="87">
        <f t="shared" si="12"/>
        <v>0</v>
      </c>
      <c r="AV49" s="87">
        <f t="shared" si="13"/>
        <v>0</v>
      </c>
      <c r="AW49" s="87">
        <f t="shared" si="14"/>
        <v>0</v>
      </c>
      <c r="AX49" s="87">
        <f t="shared" si="15"/>
        <v>0</v>
      </c>
      <c r="AY49" s="87">
        <f t="shared" si="16"/>
        <v>0</v>
      </c>
      <c r="AZ49" s="87">
        <f t="shared" si="17"/>
        <v>0</v>
      </c>
      <c r="BA49" s="87">
        <f t="shared" si="18"/>
        <v>0</v>
      </c>
      <c r="BB49" s="87">
        <f t="shared" si="19"/>
        <v>0</v>
      </c>
      <c r="BC49" s="87">
        <f t="shared" si="20"/>
        <v>0</v>
      </c>
      <c r="BD49" s="87">
        <f t="shared" si="21"/>
        <v>0</v>
      </c>
      <c r="BE49" s="87">
        <f t="shared" si="22"/>
        <v>0</v>
      </c>
    </row>
    <row r="50" spans="1:57" s="90" customFormat="1" ht="15" customHeight="1" x14ac:dyDescent="0.25">
      <c r="A50" s="187" t="b">
        <v>1</v>
      </c>
      <c r="B50" s="188" t="b">
        <v>1</v>
      </c>
      <c r="C50" s="179" t="e">
        <f t="shared" si="0"/>
        <v>#N/A</v>
      </c>
      <c r="E50" s="180">
        <v>2021</v>
      </c>
      <c r="F50" s="100">
        <f t="shared" si="24"/>
        <v>63</v>
      </c>
      <c r="G50" s="181">
        <f t="shared" si="1"/>
        <v>2</v>
      </c>
      <c r="H50" s="181" t="e">
        <f t="shared" si="23"/>
        <v>#N/A</v>
      </c>
      <c r="J50" s="193">
        <v>0.1</v>
      </c>
      <c r="K50" s="101"/>
      <c r="L50" s="183" t="e">
        <f t="shared" si="2"/>
        <v>#N/A</v>
      </c>
      <c r="M50" s="88"/>
      <c r="N50" s="91"/>
      <c r="O50" s="91"/>
      <c r="P50" s="90">
        <v>0</v>
      </c>
      <c r="Q50" s="87">
        <v>1</v>
      </c>
      <c r="R50" s="87">
        <v>2.2550000000000001E-2</v>
      </c>
      <c r="S50" s="87">
        <v>2.3859999999999999E-2</v>
      </c>
      <c r="T50" s="87">
        <v>2.564E-2</v>
      </c>
      <c r="U50" s="87">
        <v>0.86126000000000003</v>
      </c>
      <c r="V50" s="193">
        <v>0</v>
      </c>
      <c r="W50" s="193">
        <v>0</v>
      </c>
      <c r="X50" s="193">
        <v>0</v>
      </c>
      <c r="Y50" s="193">
        <v>0</v>
      </c>
      <c r="Z50" s="193">
        <v>0</v>
      </c>
      <c r="AA50" s="193">
        <v>0</v>
      </c>
      <c r="AB50" s="193">
        <v>0</v>
      </c>
      <c r="AC50" s="193">
        <v>0</v>
      </c>
      <c r="AD50" s="193">
        <v>0</v>
      </c>
      <c r="AE50" s="193">
        <v>0</v>
      </c>
      <c r="AF50" s="193">
        <v>0</v>
      </c>
      <c r="AG50" s="193">
        <v>0</v>
      </c>
      <c r="AH50" s="193">
        <v>0</v>
      </c>
      <c r="AI50" s="193">
        <v>0</v>
      </c>
      <c r="AJ50" s="193">
        <v>0</v>
      </c>
      <c r="AL50" s="87">
        <f t="shared" si="3"/>
        <v>1</v>
      </c>
      <c r="AM50" s="87">
        <f t="shared" si="4"/>
        <v>2.2550000000000001E-2</v>
      </c>
      <c r="AN50" s="87">
        <f t="shared" si="5"/>
        <v>2.3859999999999999E-2</v>
      </c>
      <c r="AO50" s="87">
        <f t="shared" si="6"/>
        <v>2.564E-2</v>
      </c>
      <c r="AP50" s="87">
        <f t="shared" si="7"/>
        <v>0.86126000000000003</v>
      </c>
      <c r="AQ50" s="87">
        <f t="shared" si="8"/>
        <v>0</v>
      </c>
      <c r="AR50" s="87">
        <f t="shared" si="9"/>
        <v>0</v>
      </c>
      <c r="AS50" s="87">
        <f t="shared" si="10"/>
        <v>0</v>
      </c>
      <c r="AT50" s="87">
        <f t="shared" si="11"/>
        <v>0</v>
      </c>
      <c r="AU50" s="87">
        <f t="shared" si="12"/>
        <v>0</v>
      </c>
      <c r="AV50" s="87">
        <f t="shared" si="13"/>
        <v>0</v>
      </c>
      <c r="AW50" s="87">
        <f t="shared" si="14"/>
        <v>0</v>
      </c>
      <c r="AX50" s="87">
        <f t="shared" si="15"/>
        <v>0</v>
      </c>
      <c r="AY50" s="87">
        <f t="shared" si="16"/>
        <v>0</v>
      </c>
      <c r="AZ50" s="87">
        <f t="shared" si="17"/>
        <v>0</v>
      </c>
      <c r="BA50" s="87">
        <f t="shared" si="18"/>
        <v>0</v>
      </c>
      <c r="BB50" s="87">
        <f t="shared" si="19"/>
        <v>0</v>
      </c>
      <c r="BC50" s="87">
        <f t="shared" si="20"/>
        <v>0</v>
      </c>
      <c r="BD50" s="87">
        <f t="shared" si="21"/>
        <v>0</v>
      </c>
      <c r="BE50" s="87">
        <f t="shared" si="22"/>
        <v>0</v>
      </c>
    </row>
    <row r="51" spans="1:57" s="90" customFormat="1" ht="15" customHeight="1" x14ac:dyDescent="0.25">
      <c r="A51" s="187" t="b">
        <v>1</v>
      </c>
      <c r="B51" s="188" t="b">
        <v>1</v>
      </c>
      <c r="C51" s="179" t="e">
        <f t="shared" si="0"/>
        <v>#N/A</v>
      </c>
      <c r="E51" s="180">
        <v>2022</v>
      </c>
      <c r="F51" s="100">
        <f t="shared" si="24"/>
        <v>64</v>
      </c>
      <c r="G51" s="181">
        <f t="shared" si="1"/>
        <v>1</v>
      </c>
      <c r="H51" s="181" t="e">
        <f t="shared" si="23"/>
        <v>#N/A</v>
      </c>
      <c r="J51" s="193">
        <v>0.1</v>
      </c>
      <c r="K51" s="101"/>
      <c r="L51" s="183" t="e">
        <f t="shared" si="2"/>
        <v>#N/A</v>
      </c>
      <c r="M51" s="88"/>
      <c r="N51" s="91"/>
      <c r="O51" s="91"/>
      <c r="P51" s="90">
        <v>0</v>
      </c>
      <c r="Q51" s="87">
        <v>1</v>
      </c>
      <c r="R51" s="87">
        <v>1.085E-2</v>
      </c>
      <c r="S51" s="87">
        <v>4.62E-3</v>
      </c>
      <c r="T51" s="87">
        <v>1.188E-2</v>
      </c>
      <c r="U51" s="87">
        <v>0.95041999999999993</v>
      </c>
      <c r="V51" s="193">
        <v>0</v>
      </c>
      <c r="W51" s="193">
        <v>0</v>
      </c>
      <c r="X51" s="193">
        <v>0</v>
      </c>
      <c r="Y51" s="193">
        <v>0</v>
      </c>
      <c r="Z51" s="193">
        <v>0</v>
      </c>
      <c r="AA51" s="193">
        <v>0</v>
      </c>
      <c r="AB51" s="193">
        <v>0</v>
      </c>
      <c r="AC51" s="193">
        <v>0</v>
      </c>
      <c r="AD51" s="193">
        <v>0</v>
      </c>
      <c r="AE51" s="193">
        <v>0</v>
      </c>
      <c r="AF51" s="193">
        <v>0</v>
      </c>
      <c r="AG51" s="193">
        <v>0</v>
      </c>
      <c r="AH51" s="193">
        <v>0</v>
      </c>
      <c r="AI51" s="193">
        <v>0</v>
      </c>
      <c r="AJ51" s="193">
        <v>0</v>
      </c>
      <c r="AL51" s="87">
        <f t="shared" si="3"/>
        <v>1</v>
      </c>
      <c r="AM51" s="87">
        <f t="shared" si="4"/>
        <v>1.085E-2</v>
      </c>
      <c r="AN51" s="87">
        <f t="shared" si="5"/>
        <v>4.62E-3</v>
      </c>
      <c r="AO51" s="87">
        <f t="shared" si="6"/>
        <v>1.188E-2</v>
      </c>
      <c r="AP51" s="87">
        <f t="shared" si="7"/>
        <v>0.95041999999999993</v>
      </c>
      <c r="AQ51" s="87">
        <f t="shared" si="8"/>
        <v>0</v>
      </c>
      <c r="AR51" s="87">
        <f t="shared" si="9"/>
        <v>0</v>
      </c>
      <c r="AS51" s="87">
        <f t="shared" si="10"/>
        <v>0</v>
      </c>
      <c r="AT51" s="87">
        <f t="shared" si="11"/>
        <v>0</v>
      </c>
      <c r="AU51" s="87">
        <f t="shared" si="12"/>
        <v>0</v>
      </c>
      <c r="AV51" s="87">
        <f t="shared" si="13"/>
        <v>0</v>
      </c>
      <c r="AW51" s="87">
        <f t="shared" si="14"/>
        <v>0</v>
      </c>
      <c r="AX51" s="87">
        <f t="shared" si="15"/>
        <v>0</v>
      </c>
      <c r="AY51" s="87">
        <f t="shared" si="16"/>
        <v>0</v>
      </c>
      <c r="AZ51" s="87">
        <f t="shared" si="17"/>
        <v>0</v>
      </c>
      <c r="BA51" s="87">
        <f t="shared" si="18"/>
        <v>0</v>
      </c>
      <c r="BB51" s="87">
        <f t="shared" si="19"/>
        <v>0</v>
      </c>
      <c r="BC51" s="87">
        <f t="shared" si="20"/>
        <v>0</v>
      </c>
      <c r="BD51" s="87">
        <f t="shared" si="21"/>
        <v>0</v>
      </c>
      <c r="BE51" s="87">
        <f t="shared" si="22"/>
        <v>0</v>
      </c>
    </row>
    <row r="52" spans="1:57" s="90" customFormat="1" ht="15" customHeight="1" x14ac:dyDescent="0.25">
      <c r="A52" s="187" t="b">
        <v>1</v>
      </c>
      <c r="B52" s="188" t="b">
        <v>1</v>
      </c>
      <c r="C52" s="179" t="e">
        <f t="shared" si="0"/>
        <v>#N/A</v>
      </c>
      <c r="E52" s="180">
        <v>2023</v>
      </c>
      <c r="F52" s="100">
        <f t="shared" si="24"/>
        <v>65</v>
      </c>
      <c r="G52" s="181">
        <f t="shared" si="1"/>
        <v>0</v>
      </c>
      <c r="H52" s="181" t="e">
        <f t="shared" si="23"/>
        <v>#N/A</v>
      </c>
      <c r="J52" s="193">
        <v>0.1</v>
      </c>
      <c r="K52" s="101"/>
      <c r="L52" s="183" t="e">
        <f t="shared" si="2"/>
        <v>#N/A</v>
      </c>
      <c r="M52" s="88"/>
      <c r="N52" s="91"/>
      <c r="O52" s="91"/>
      <c r="P52" s="90">
        <v>0</v>
      </c>
      <c r="Q52" s="87">
        <v>1</v>
      </c>
      <c r="R52" s="87">
        <v>0</v>
      </c>
      <c r="S52" s="87">
        <v>0</v>
      </c>
      <c r="T52" s="87">
        <v>0</v>
      </c>
      <c r="U52" s="87">
        <v>1</v>
      </c>
      <c r="V52" s="193">
        <v>0</v>
      </c>
      <c r="W52" s="193">
        <v>0</v>
      </c>
      <c r="X52" s="193">
        <v>0</v>
      </c>
      <c r="Y52" s="193">
        <v>0</v>
      </c>
      <c r="Z52" s="193">
        <v>0</v>
      </c>
      <c r="AA52" s="193">
        <v>0</v>
      </c>
      <c r="AB52" s="193">
        <v>0</v>
      </c>
      <c r="AC52" s="193">
        <v>0</v>
      </c>
      <c r="AD52" s="193">
        <v>0</v>
      </c>
      <c r="AE52" s="193">
        <v>0</v>
      </c>
      <c r="AF52" s="193">
        <v>0</v>
      </c>
      <c r="AG52" s="193">
        <v>0</v>
      </c>
      <c r="AH52" s="193">
        <v>0</v>
      </c>
      <c r="AI52" s="193">
        <v>0</v>
      </c>
      <c r="AJ52" s="193">
        <v>0</v>
      </c>
      <c r="AL52" s="87">
        <f t="shared" si="3"/>
        <v>1</v>
      </c>
      <c r="AM52" s="87">
        <f t="shared" si="4"/>
        <v>0</v>
      </c>
      <c r="AN52" s="87">
        <f t="shared" si="5"/>
        <v>0</v>
      </c>
      <c r="AO52" s="87">
        <f t="shared" si="6"/>
        <v>0</v>
      </c>
      <c r="AP52" s="87">
        <f t="shared" si="7"/>
        <v>1</v>
      </c>
      <c r="AQ52" s="87">
        <f t="shared" si="8"/>
        <v>0</v>
      </c>
      <c r="AR52" s="87">
        <f t="shared" si="9"/>
        <v>0</v>
      </c>
      <c r="AS52" s="87">
        <f t="shared" si="10"/>
        <v>0</v>
      </c>
      <c r="AT52" s="87">
        <f t="shared" si="11"/>
        <v>0</v>
      </c>
      <c r="AU52" s="87">
        <f t="shared" si="12"/>
        <v>0</v>
      </c>
      <c r="AV52" s="87">
        <f t="shared" si="13"/>
        <v>0</v>
      </c>
      <c r="AW52" s="87">
        <f t="shared" si="14"/>
        <v>0</v>
      </c>
      <c r="AX52" s="87">
        <f t="shared" si="15"/>
        <v>0</v>
      </c>
      <c r="AY52" s="87">
        <f t="shared" si="16"/>
        <v>0</v>
      </c>
      <c r="AZ52" s="87">
        <f t="shared" si="17"/>
        <v>0</v>
      </c>
      <c r="BA52" s="87">
        <f t="shared" si="18"/>
        <v>0</v>
      </c>
      <c r="BB52" s="87">
        <f t="shared" si="19"/>
        <v>0</v>
      </c>
      <c r="BC52" s="87">
        <f t="shared" si="20"/>
        <v>0</v>
      </c>
      <c r="BD52" s="87">
        <f t="shared" si="21"/>
        <v>0</v>
      </c>
      <c r="BE52" s="87">
        <f t="shared" si="22"/>
        <v>0</v>
      </c>
    </row>
    <row r="53" spans="1:57" s="90" customFormat="1" ht="15" customHeight="1" x14ac:dyDescent="0.25">
      <c r="A53" s="187" t="b">
        <v>1</v>
      </c>
      <c r="B53" s="188" t="b">
        <v>1</v>
      </c>
      <c r="C53" s="179" t="e">
        <f t="shared" si="0"/>
        <v>#N/A</v>
      </c>
      <c r="E53" s="180">
        <v>2024</v>
      </c>
      <c r="F53" s="100">
        <f t="shared" si="24"/>
        <v>66</v>
      </c>
      <c r="G53" s="181">
        <f t="shared" si="1"/>
        <v>-1</v>
      </c>
      <c r="H53" s="181" t="e">
        <f t="shared" si="23"/>
        <v>#N/A</v>
      </c>
      <c r="J53" s="182">
        <v>0.1</v>
      </c>
      <c r="K53" s="101"/>
      <c r="L53" s="183" t="e">
        <f t="shared" si="2"/>
        <v>#N/A</v>
      </c>
      <c r="M53" s="184"/>
      <c r="N53" s="91"/>
      <c r="O53" s="91"/>
      <c r="P53" s="90">
        <v>0</v>
      </c>
      <c r="Q53" s="87">
        <v>1</v>
      </c>
      <c r="R53" s="185">
        <v>0.1419</v>
      </c>
      <c r="S53" s="185">
        <v>0.12468000000000001</v>
      </c>
      <c r="T53" s="185">
        <v>0.19632000000000002</v>
      </c>
      <c r="U53" s="185">
        <v>5.5880000000000006E-2</v>
      </c>
      <c r="V53" s="182">
        <v>0</v>
      </c>
      <c r="W53" s="182">
        <v>0</v>
      </c>
      <c r="X53" s="182">
        <v>0</v>
      </c>
      <c r="Y53" s="182">
        <v>0</v>
      </c>
      <c r="Z53" s="182">
        <v>0</v>
      </c>
      <c r="AA53" s="182">
        <v>0</v>
      </c>
      <c r="AB53" s="182">
        <v>0</v>
      </c>
      <c r="AC53" s="182">
        <v>0</v>
      </c>
      <c r="AD53" s="182">
        <v>0</v>
      </c>
      <c r="AE53" s="182">
        <v>0</v>
      </c>
      <c r="AF53" s="182">
        <v>0</v>
      </c>
      <c r="AG53" s="182">
        <v>0</v>
      </c>
      <c r="AH53" s="182">
        <v>0</v>
      </c>
      <c r="AI53" s="182">
        <v>0</v>
      </c>
      <c r="AJ53" s="182">
        <v>0</v>
      </c>
      <c r="AL53" s="185">
        <f t="shared" si="3"/>
        <v>1</v>
      </c>
      <c r="AM53" s="185">
        <f t="shared" si="4"/>
        <v>0.1419</v>
      </c>
      <c r="AN53" s="185">
        <f t="shared" si="5"/>
        <v>0.12468000000000001</v>
      </c>
      <c r="AO53" s="185">
        <f t="shared" si="6"/>
        <v>0.19632000000000002</v>
      </c>
      <c r="AP53" s="185">
        <f t="shared" si="7"/>
        <v>5.5880000000000006E-2</v>
      </c>
      <c r="AQ53" s="185">
        <f t="shared" si="8"/>
        <v>0</v>
      </c>
      <c r="AR53" s="185">
        <f t="shared" si="9"/>
        <v>0</v>
      </c>
      <c r="AS53" s="185">
        <f t="shared" si="10"/>
        <v>0</v>
      </c>
      <c r="AT53" s="185">
        <f t="shared" si="11"/>
        <v>0</v>
      </c>
      <c r="AU53" s="185">
        <f t="shared" si="12"/>
        <v>0</v>
      </c>
      <c r="AV53" s="185">
        <f t="shared" si="13"/>
        <v>0</v>
      </c>
      <c r="AW53" s="185">
        <f t="shared" si="14"/>
        <v>0</v>
      </c>
      <c r="AX53" s="185">
        <f t="shared" si="15"/>
        <v>0</v>
      </c>
      <c r="AY53" s="185">
        <f t="shared" si="16"/>
        <v>0</v>
      </c>
      <c r="AZ53" s="185">
        <f t="shared" si="17"/>
        <v>0</v>
      </c>
      <c r="BA53" s="185">
        <f t="shared" si="18"/>
        <v>0</v>
      </c>
      <c r="BB53" s="185">
        <f t="shared" si="19"/>
        <v>0</v>
      </c>
      <c r="BC53" s="185">
        <f t="shared" si="20"/>
        <v>0</v>
      </c>
      <c r="BD53" s="185">
        <f t="shared" si="21"/>
        <v>0</v>
      </c>
      <c r="BE53" s="185">
        <f t="shared" si="22"/>
        <v>0</v>
      </c>
    </row>
    <row r="54" spans="1:57" s="90" customFormat="1" ht="15" hidden="1" customHeight="1" x14ac:dyDescent="0.25">
      <c r="A54" s="187" t="b">
        <v>1</v>
      </c>
      <c r="B54" s="188" t="b">
        <v>1</v>
      </c>
      <c r="C54" s="179" t="e">
        <f t="shared" si="0"/>
        <v>#N/A</v>
      </c>
      <c r="E54" s="180">
        <v>2025</v>
      </c>
      <c r="F54" s="100">
        <f t="shared" si="24"/>
        <v>67</v>
      </c>
      <c r="G54" s="181">
        <f t="shared" si="1"/>
        <v>-2</v>
      </c>
      <c r="H54" s="181" t="e">
        <f t="shared" si="23"/>
        <v>#N/A</v>
      </c>
      <c r="J54" s="182">
        <v>0.1</v>
      </c>
      <c r="K54" s="101"/>
      <c r="L54" s="183" t="e">
        <f t="shared" si="2"/>
        <v>#N/A</v>
      </c>
      <c r="M54" s="184"/>
      <c r="N54" s="91"/>
      <c r="O54" s="91"/>
      <c r="P54" s="90">
        <v>0</v>
      </c>
      <c r="Q54" s="87">
        <v>1</v>
      </c>
      <c r="R54" s="185">
        <v>0.1419</v>
      </c>
      <c r="S54" s="185">
        <v>0.12468000000000001</v>
      </c>
      <c r="T54" s="185">
        <v>0.19632000000000002</v>
      </c>
      <c r="U54" s="185">
        <v>5.5880000000000006E-2</v>
      </c>
      <c r="V54" s="182">
        <v>0</v>
      </c>
      <c r="W54" s="182">
        <v>0</v>
      </c>
      <c r="X54" s="182">
        <v>0</v>
      </c>
      <c r="Y54" s="182">
        <v>0</v>
      </c>
      <c r="Z54" s="182">
        <v>0</v>
      </c>
      <c r="AA54" s="182">
        <v>0</v>
      </c>
      <c r="AB54" s="182">
        <v>0</v>
      </c>
      <c r="AC54" s="182">
        <v>0</v>
      </c>
      <c r="AD54" s="182">
        <v>0</v>
      </c>
      <c r="AE54" s="182">
        <v>0</v>
      </c>
      <c r="AF54" s="182">
        <v>0</v>
      </c>
      <c r="AG54" s="182">
        <v>0</v>
      </c>
      <c r="AH54" s="182">
        <v>0</v>
      </c>
      <c r="AI54" s="182">
        <v>0</v>
      </c>
      <c r="AJ54" s="182">
        <v>0</v>
      </c>
      <c r="AL54" s="185">
        <f t="shared" si="3"/>
        <v>1</v>
      </c>
      <c r="AM54" s="185">
        <f t="shared" si="4"/>
        <v>0.1419</v>
      </c>
      <c r="AN54" s="185">
        <f t="shared" si="5"/>
        <v>0.12468000000000001</v>
      </c>
      <c r="AO54" s="185">
        <f t="shared" si="6"/>
        <v>0.19632000000000002</v>
      </c>
      <c r="AP54" s="185">
        <f t="shared" si="7"/>
        <v>5.5880000000000006E-2</v>
      </c>
      <c r="AQ54" s="185">
        <f t="shared" si="8"/>
        <v>0</v>
      </c>
      <c r="AR54" s="185">
        <f t="shared" si="9"/>
        <v>0</v>
      </c>
      <c r="AS54" s="185">
        <f t="shared" si="10"/>
        <v>0</v>
      </c>
      <c r="AT54" s="185">
        <f t="shared" si="11"/>
        <v>0</v>
      </c>
      <c r="AU54" s="185">
        <f t="shared" si="12"/>
        <v>0</v>
      </c>
      <c r="AV54" s="185">
        <f t="shared" si="13"/>
        <v>0</v>
      </c>
      <c r="AW54" s="185">
        <f t="shared" si="14"/>
        <v>0</v>
      </c>
      <c r="AX54" s="185">
        <f t="shared" si="15"/>
        <v>0</v>
      </c>
      <c r="AY54" s="185">
        <f t="shared" si="16"/>
        <v>0</v>
      </c>
      <c r="AZ54" s="185">
        <f t="shared" si="17"/>
        <v>0</v>
      </c>
      <c r="BA54" s="185">
        <f t="shared" si="18"/>
        <v>0</v>
      </c>
      <c r="BB54" s="185">
        <f t="shared" si="19"/>
        <v>0</v>
      </c>
      <c r="BC54" s="185">
        <f t="shared" si="20"/>
        <v>0</v>
      </c>
      <c r="BD54" s="185">
        <f t="shared" si="21"/>
        <v>0</v>
      </c>
      <c r="BE54" s="185">
        <f t="shared" si="22"/>
        <v>0</v>
      </c>
    </row>
    <row r="55" spans="1:57" s="90" customFormat="1" ht="15" hidden="1" customHeight="1" x14ac:dyDescent="0.25">
      <c r="A55" s="187" t="b">
        <v>1</v>
      </c>
      <c r="B55" s="188" t="b">
        <v>1</v>
      </c>
      <c r="C55" s="179" t="e">
        <f t="shared" si="0"/>
        <v>#N/A</v>
      </c>
      <c r="E55" s="180">
        <v>2026</v>
      </c>
      <c r="F55" s="100">
        <f t="shared" si="24"/>
        <v>68</v>
      </c>
      <c r="G55" s="181">
        <f t="shared" si="1"/>
        <v>-3</v>
      </c>
      <c r="H55" s="181" t="e">
        <f t="shared" si="23"/>
        <v>#N/A</v>
      </c>
      <c r="J55" s="182">
        <v>0.1</v>
      </c>
      <c r="K55" s="101"/>
      <c r="L55" s="183" t="e">
        <f t="shared" si="2"/>
        <v>#N/A</v>
      </c>
      <c r="M55" s="184"/>
      <c r="N55" s="91"/>
      <c r="O55" s="91"/>
      <c r="P55" s="90">
        <v>0</v>
      </c>
      <c r="Q55" s="87">
        <v>1</v>
      </c>
      <c r="R55" s="185">
        <v>0.1419</v>
      </c>
      <c r="S55" s="185">
        <v>0.12468000000000001</v>
      </c>
      <c r="T55" s="185">
        <v>0.19632000000000002</v>
      </c>
      <c r="U55" s="185">
        <v>5.5880000000000006E-2</v>
      </c>
      <c r="V55" s="182">
        <v>0</v>
      </c>
      <c r="W55" s="182">
        <v>0</v>
      </c>
      <c r="X55" s="182">
        <v>0</v>
      </c>
      <c r="Y55" s="182">
        <v>0</v>
      </c>
      <c r="Z55" s="182">
        <v>0</v>
      </c>
      <c r="AA55" s="182">
        <v>0</v>
      </c>
      <c r="AB55" s="182">
        <v>0</v>
      </c>
      <c r="AC55" s="182">
        <v>0</v>
      </c>
      <c r="AD55" s="182">
        <v>0</v>
      </c>
      <c r="AE55" s="182">
        <v>0</v>
      </c>
      <c r="AF55" s="182">
        <v>0</v>
      </c>
      <c r="AG55" s="182">
        <v>0</v>
      </c>
      <c r="AH55" s="182">
        <v>0</v>
      </c>
      <c r="AI55" s="182">
        <v>0</v>
      </c>
      <c r="AJ55" s="182">
        <v>0</v>
      </c>
      <c r="AL55" s="185">
        <f t="shared" si="3"/>
        <v>1</v>
      </c>
      <c r="AM55" s="185">
        <f t="shared" si="4"/>
        <v>0.1419</v>
      </c>
      <c r="AN55" s="185">
        <f t="shared" si="5"/>
        <v>0.12468000000000001</v>
      </c>
      <c r="AO55" s="185">
        <f t="shared" si="6"/>
        <v>0.19632000000000002</v>
      </c>
      <c r="AP55" s="185">
        <f t="shared" si="7"/>
        <v>5.5880000000000006E-2</v>
      </c>
      <c r="AQ55" s="185">
        <f t="shared" si="8"/>
        <v>0</v>
      </c>
      <c r="AR55" s="185">
        <f t="shared" si="9"/>
        <v>0</v>
      </c>
      <c r="AS55" s="185">
        <f t="shared" si="10"/>
        <v>0</v>
      </c>
      <c r="AT55" s="185">
        <f t="shared" si="11"/>
        <v>0</v>
      </c>
      <c r="AU55" s="185">
        <f t="shared" si="12"/>
        <v>0</v>
      </c>
      <c r="AV55" s="185">
        <f t="shared" si="13"/>
        <v>0</v>
      </c>
      <c r="AW55" s="185">
        <f t="shared" si="14"/>
        <v>0</v>
      </c>
      <c r="AX55" s="185">
        <f t="shared" si="15"/>
        <v>0</v>
      </c>
      <c r="AY55" s="185">
        <f t="shared" si="16"/>
        <v>0</v>
      </c>
      <c r="AZ55" s="185">
        <f t="shared" si="17"/>
        <v>0</v>
      </c>
      <c r="BA55" s="185">
        <f t="shared" si="18"/>
        <v>0</v>
      </c>
      <c r="BB55" s="185">
        <f t="shared" si="19"/>
        <v>0</v>
      </c>
      <c r="BC55" s="185">
        <f t="shared" si="20"/>
        <v>0</v>
      </c>
      <c r="BD55" s="185">
        <f t="shared" si="21"/>
        <v>0</v>
      </c>
      <c r="BE55" s="185">
        <f t="shared" si="22"/>
        <v>0</v>
      </c>
    </row>
    <row r="56" spans="1:57" s="90" customFormat="1" ht="15" hidden="1" customHeight="1" x14ac:dyDescent="0.25">
      <c r="A56" s="187" t="b">
        <v>1</v>
      </c>
      <c r="B56" s="188" t="b">
        <v>1</v>
      </c>
      <c r="C56" s="179" t="e">
        <f t="shared" si="0"/>
        <v>#N/A</v>
      </c>
      <c r="E56" s="180">
        <v>2027</v>
      </c>
      <c r="F56" s="100">
        <f t="shared" si="24"/>
        <v>69</v>
      </c>
      <c r="G56" s="181">
        <f t="shared" si="1"/>
        <v>-4</v>
      </c>
      <c r="H56" s="181" t="e">
        <f t="shared" si="23"/>
        <v>#N/A</v>
      </c>
      <c r="J56" s="182">
        <v>0.1</v>
      </c>
      <c r="K56" s="101"/>
      <c r="L56" s="183" t="e">
        <f t="shared" si="2"/>
        <v>#N/A</v>
      </c>
      <c r="M56" s="184"/>
      <c r="N56" s="91"/>
      <c r="O56" s="91"/>
      <c r="P56" s="90">
        <v>0</v>
      </c>
      <c r="Q56" s="87">
        <v>1</v>
      </c>
      <c r="R56" s="185">
        <v>0.1419</v>
      </c>
      <c r="S56" s="185">
        <v>0.12468000000000001</v>
      </c>
      <c r="T56" s="185">
        <v>0.19632000000000002</v>
      </c>
      <c r="U56" s="185">
        <v>5.5880000000000006E-2</v>
      </c>
      <c r="V56" s="182">
        <v>0</v>
      </c>
      <c r="W56" s="182">
        <v>0</v>
      </c>
      <c r="X56" s="182">
        <v>0</v>
      </c>
      <c r="Y56" s="182">
        <v>0</v>
      </c>
      <c r="Z56" s="182">
        <v>0</v>
      </c>
      <c r="AA56" s="182">
        <v>0</v>
      </c>
      <c r="AB56" s="182">
        <v>0</v>
      </c>
      <c r="AC56" s="182">
        <v>0</v>
      </c>
      <c r="AD56" s="182">
        <v>0</v>
      </c>
      <c r="AE56" s="182">
        <v>0</v>
      </c>
      <c r="AF56" s="182">
        <v>0</v>
      </c>
      <c r="AG56" s="182">
        <v>0</v>
      </c>
      <c r="AH56" s="182">
        <v>0</v>
      </c>
      <c r="AI56" s="182">
        <v>0</v>
      </c>
      <c r="AJ56" s="182">
        <v>0</v>
      </c>
      <c r="AL56" s="185">
        <f t="shared" si="3"/>
        <v>1</v>
      </c>
      <c r="AM56" s="185">
        <f t="shared" si="4"/>
        <v>0.1419</v>
      </c>
      <c r="AN56" s="185">
        <f t="shared" si="5"/>
        <v>0.12468000000000001</v>
      </c>
      <c r="AO56" s="185">
        <f t="shared" si="6"/>
        <v>0.19632000000000002</v>
      </c>
      <c r="AP56" s="185">
        <f t="shared" si="7"/>
        <v>5.5880000000000006E-2</v>
      </c>
      <c r="AQ56" s="185">
        <f t="shared" si="8"/>
        <v>0</v>
      </c>
      <c r="AR56" s="185">
        <f t="shared" si="9"/>
        <v>0</v>
      </c>
      <c r="AS56" s="185">
        <f t="shared" si="10"/>
        <v>0</v>
      </c>
      <c r="AT56" s="185">
        <f t="shared" si="11"/>
        <v>0</v>
      </c>
      <c r="AU56" s="185">
        <f t="shared" si="12"/>
        <v>0</v>
      </c>
      <c r="AV56" s="185">
        <f t="shared" si="13"/>
        <v>0</v>
      </c>
      <c r="AW56" s="185">
        <f t="shared" si="14"/>
        <v>0</v>
      </c>
      <c r="AX56" s="185">
        <f t="shared" si="15"/>
        <v>0</v>
      </c>
      <c r="AY56" s="185">
        <f t="shared" si="16"/>
        <v>0</v>
      </c>
      <c r="AZ56" s="185">
        <f t="shared" si="17"/>
        <v>0</v>
      </c>
      <c r="BA56" s="185">
        <f t="shared" si="18"/>
        <v>0</v>
      </c>
      <c r="BB56" s="185">
        <f t="shared" si="19"/>
        <v>0</v>
      </c>
      <c r="BC56" s="185">
        <f t="shared" si="20"/>
        <v>0</v>
      </c>
      <c r="BD56" s="185">
        <f t="shared" si="21"/>
        <v>0</v>
      </c>
      <c r="BE56" s="185">
        <f t="shared" si="22"/>
        <v>0</v>
      </c>
    </row>
    <row r="57" spans="1:57" s="90" customFormat="1" ht="15" hidden="1" customHeight="1" x14ac:dyDescent="0.25">
      <c r="A57" s="187" t="b">
        <v>1</v>
      </c>
      <c r="B57" s="188" t="b">
        <v>1</v>
      </c>
      <c r="C57" s="179" t="e">
        <f t="shared" si="0"/>
        <v>#N/A</v>
      </c>
      <c r="E57" s="180">
        <v>2028</v>
      </c>
      <c r="F57" s="100">
        <f t="shared" si="24"/>
        <v>70</v>
      </c>
      <c r="G57" s="181">
        <f t="shared" si="1"/>
        <v>-5</v>
      </c>
      <c r="H57" s="181" t="e">
        <f t="shared" si="23"/>
        <v>#N/A</v>
      </c>
      <c r="J57" s="182">
        <v>0.1</v>
      </c>
      <c r="K57" s="101"/>
      <c r="L57" s="183" t="e">
        <f t="shared" si="2"/>
        <v>#N/A</v>
      </c>
      <c r="M57" s="184"/>
      <c r="N57" s="91"/>
      <c r="O57" s="91"/>
      <c r="P57" s="90">
        <v>0</v>
      </c>
      <c r="Q57" s="87">
        <v>1</v>
      </c>
      <c r="R57" s="185">
        <v>0.1419</v>
      </c>
      <c r="S57" s="185">
        <v>0.12468000000000001</v>
      </c>
      <c r="T57" s="185">
        <v>0.19632000000000002</v>
      </c>
      <c r="U57" s="185">
        <v>5.5880000000000006E-2</v>
      </c>
      <c r="V57" s="182">
        <v>0</v>
      </c>
      <c r="W57" s="182">
        <v>0</v>
      </c>
      <c r="X57" s="182">
        <v>0</v>
      </c>
      <c r="Y57" s="182">
        <v>0</v>
      </c>
      <c r="Z57" s="182">
        <v>0</v>
      </c>
      <c r="AA57" s="182">
        <v>0</v>
      </c>
      <c r="AB57" s="182">
        <v>0</v>
      </c>
      <c r="AC57" s="182">
        <v>0</v>
      </c>
      <c r="AD57" s="182">
        <v>0</v>
      </c>
      <c r="AE57" s="182">
        <v>0</v>
      </c>
      <c r="AF57" s="182">
        <v>0</v>
      </c>
      <c r="AG57" s="182">
        <v>0</v>
      </c>
      <c r="AH57" s="182">
        <v>0</v>
      </c>
      <c r="AI57" s="182">
        <v>0</v>
      </c>
      <c r="AJ57" s="182">
        <v>0</v>
      </c>
      <c r="AL57" s="185">
        <f t="shared" si="3"/>
        <v>1</v>
      </c>
      <c r="AM57" s="185">
        <f t="shared" si="4"/>
        <v>0.1419</v>
      </c>
      <c r="AN57" s="185">
        <f t="shared" si="5"/>
        <v>0.12468000000000001</v>
      </c>
      <c r="AO57" s="185">
        <f t="shared" si="6"/>
        <v>0.19632000000000002</v>
      </c>
      <c r="AP57" s="185">
        <f t="shared" si="7"/>
        <v>5.5880000000000006E-2</v>
      </c>
      <c r="AQ57" s="185">
        <f t="shared" si="8"/>
        <v>0</v>
      </c>
      <c r="AR57" s="185">
        <f t="shared" si="9"/>
        <v>0</v>
      </c>
      <c r="AS57" s="185">
        <f t="shared" si="10"/>
        <v>0</v>
      </c>
      <c r="AT57" s="185">
        <f t="shared" si="11"/>
        <v>0</v>
      </c>
      <c r="AU57" s="185">
        <f t="shared" si="12"/>
        <v>0</v>
      </c>
      <c r="AV57" s="185">
        <f t="shared" si="13"/>
        <v>0</v>
      </c>
      <c r="AW57" s="185">
        <f t="shared" si="14"/>
        <v>0</v>
      </c>
      <c r="AX57" s="185">
        <f t="shared" si="15"/>
        <v>0</v>
      </c>
      <c r="AY57" s="185">
        <f t="shared" si="16"/>
        <v>0</v>
      </c>
      <c r="AZ57" s="185">
        <f t="shared" si="17"/>
        <v>0</v>
      </c>
      <c r="BA57" s="185">
        <f t="shared" si="18"/>
        <v>0</v>
      </c>
      <c r="BB57" s="185">
        <f t="shared" si="19"/>
        <v>0</v>
      </c>
      <c r="BC57" s="185">
        <f t="shared" si="20"/>
        <v>0</v>
      </c>
      <c r="BD57" s="185">
        <f t="shared" si="21"/>
        <v>0</v>
      </c>
      <c r="BE57" s="185">
        <f t="shared" si="22"/>
        <v>0</v>
      </c>
    </row>
    <row r="58" spans="1:57" s="90" customFormat="1" ht="15" hidden="1" customHeight="1" x14ac:dyDescent="0.25">
      <c r="A58" s="187" t="b">
        <v>1</v>
      </c>
      <c r="B58" s="188" t="b">
        <v>1</v>
      </c>
      <c r="C58" s="179" t="e">
        <f t="shared" si="0"/>
        <v>#N/A</v>
      </c>
      <c r="E58" s="180">
        <v>2029</v>
      </c>
      <c r="F58" s="100">
        <f t="shared" si="24"/>
        <v>71</v>
      </c>
      <c r="G58" s="181">
        <f t="shared" si="1"/>
        <v>-6</v>
      </c>
      <c r="H58" s="181" t="e">
        <f t="shared" si="23"/>
        <v>#N/A</v>
      </c>
      <c r="J58" s="182">
        <v>0.1</v>
      </c>
      <c r="K58" s="101"/>
      <c r="L58" s="183" t="e">
        <f t="shared" si="2"/>
        <v>#N/A</v>
      </c>
      <c r="M58" s="184"/>
      <c r="N58" s="91"/>
      <c r="O58" s="91"/>
      <c r="P58" s="90">
        <v>0</v>
      </c>
      <c r="Q58" s="87">
        <v>1</v>
      </c>
      <c r="R58" s="185">
        <v>0.1419</v>
      </c>
      <c r="S58" s="185">
        <v>0.12468000000000001</v>
      </c>
      <c r="T58" s="185">
        <v>0.19632000000000002</v>
      </c>
      <c r="U58" s="185">
        <v>5.5880000000000006E-2</v>
      </c>
      <c r="V58" s="182">
        <v>0</v>
      </c>
      <c r="W58" s="182">
        <v>0</v>
      </c>
      <c r="X58" s="182">
        <v>0</v>
      </c>
      <c r="Y58" s="182">
        <v>0</v>
      </c>
      <c r="Z58" s="182">
        <v>0</v>
      </c>
      <c r="AA58" s="182">
        <v>0</v>
      </c>
      <c r="AB58" s="182">
        <v>0</v>
      </c>
      <c r="AC58" s="182">
        <v>0</v>
      </c>
      <c r="AD58" s="182">
        <v>0</v>
      </c>
      <c r="AE58" s="182">
        <v>0</v>
      </c>
      <c r="AF58" s="182">
        <v>0</v>
      </c>
      <c r="AG58" s="182">
        <v>0</v>
      </c>
      <c r="AH58" s="182">
        <v>0</v>
      </c>
      <c r="AI58" s="182">
        <v>0</v>
      </c>
      <c r="AJ58" s="182">
        <v>0</v>
      </c>
      <c r="AL58" s="185">
        <f t="shared" si="3"/>
        <v>1</v>
      </c>
      <c r="AM58" s="185">
        <f t="shared" si="4"/>
        <v>0.1419</v>
      </c>
      <c r="AN58" s="185">
        <f t="shared" si="5"/>
        <v>0.12468000000000001</v>
      </c>
      <c r="AO58" s="185">
        <f t="shared" si="6"/>
        <v>0.19632000000000002</v>
      </c>
      <c r="AP58" s="185">
        <f t="shared" si="7"/>
        <v>5.5880000000000006E-2</v>
      </c>
      <c r="AQ58" s="185">
        <f t="shared" si="8"/>
        <v>0</v>
      </c>
      <c r="AR58" s="185">
        <f t="shared" si="9"/>
        <v>0</v>
      </c>
      <c r="AS58" s="185">
        <f t="shared" si="10"/>
        <v>0</v>
      </c>
      <c r="AT58" s="185">
        <f t="shared" si="11"/>
        <v>0</v>
      </c>
      <c r="AU58" s="185">
        <f t="shared" si="12"/>
        <v>0</v>
      </c>
      <c r="AV58" s="185">
        <f t="shared" si="13"/>
        <v>0</v>
      </c>
      <c r="AW58" s="185">
        <f t="shared" si="14"/>
        <v>0</v>
      </c>
      <c r="AX58" s="185">
        <f t="shared" si="15"/>
        <v>0</v>
      </c>
      <c r="AY58" s="185">
        <f t="shared" si="16"/>
        <v>0</v>
      </c>
      <c r="AZ58" s="185">
        <f t="shared" si="17"/>
        <v>0</v>
      </c>
      <c r="BA58" s="185">
        <f t="shared" si="18"/>
        <v>0</v>
      </c>
      <c r="BB58" s="185">
        <f t="shared" si="19"/>
        <v>0</v>
      </c>
      <c r="BC58" s="185">
        <f t="shared" si="20"/>
        <v>0</v>
      </c>
      <c r="BD58" s="185">
        <f t="shared" si="21"/>
        <v>0</v>
      </c>
      <c r="BE58" s="185">
        <f t="shared" si="22"/>
        <v>0</v>
      </c>
    </row>
    <row r="59" spans="1:57" s="90" customFormat="1" ht="15" hidden="1" customHeight="1" x14ac:dyDescent="0.25">
      <c r="A59" s="187" t="b">
        <v>1</v>
      </c>
      <c r="B59" s="188" t="b">
        <v>1</v>
      </c>
      <c r="C59" s="179" t="e">
        <f t="shared" si="0"/>
        <v>#N/A</v>
      </c>
      <c r="E59" s="180">
        <v>2030</v>
      </c>
      <c r="F59" s="100">
        <f t="shared" si="24"/>
        <v>72</v>
      </c>
      <c r="G59" s="181">
        <f t="shared" si="1"/>
        <v>-7</v>
      </c>
      <c r="H59" s="181" t="e">
        <f t="shared" si="23"/>
        <v>#N/A</v>
      </c>
      <c r="J59" s="182">
        <v>0.1</v>
      </c>
      <c r="K59" s="101"/>
      <c r="L59" s="183" t="e">
        <f t="shared" si="2"/>
        <v>#N/A</v>
      </c>
      <c r="M59" s="184"/>
      <c r="N59" s="91"/>
      <c r="O59" s="91"/>
      <c r="P59" s="90">
        <v>0</v>
      </c>
      <c r="Q59" s="87">
        <v>1</v>
      </c>
      <c r="R59" s="185">
        <v>0.1419</v>
      </c>
      <c r="S59" s="185">
        <v>0.12468000000000001</v>
      </c>
      <c r="T59" s="185">
        <v>0.19632000000000002</v>
      </c>
      <c r="U59" s="185">
        <v>5.5880000000000006E-2</v>
      </c>
      <c r="V59" s="182">
        <v>0</v>
      </c>
      <c r="W59" s="182">
        <v>0</v>
      </c>
      <c r="X59" s="182">
        <v>0</v>
      </c>
      <c r="Y59" s="182">
        <v>0</v>
      </c>
      <c r="Z59" s="182">
        <v>0</v>
      </c>
      <c r="AA59" s="182">
        <v>0</v>
      </c>
      <c r="AB59" s="182">
        <v>0</v>
      </c>
      <c r="AC59" s="182">
        <v>0</v>
      </c>
      <c r="AD59" s="182">
        <v>0</v>
      </c>
      <c r="AE59" s="182">
        <v>0</v>
      </c>
      <c r="AF59" s="182">
        <v>0</v>
      </c>
      <c r="AG59" s="182">
        <v>0</v>
      </c>
      <c r="AH59" s="182">
        <v>0</v>
      </c>
      <c r="AI59" s="182">
        <v>0</v>
      </c>
      <c r="AJ59" s="182">
        <v>0</v>
      </c>
      <c r="AL59" s="185">
        <f t="shared" si="3"/>
        <v>1</v>
      </c>
      <c r="AM59" s="185">
        <f t="shared" si="4"/>
        <v>0.1419</v>
      </c>
      <c r="AN59" s="185">
        <f t="shared" si="5"/>
        <v>0.12468000000000001</v>
      </c>
      <c r="AO59" s="185">
        <f t="shared" si="6"/>
        <v>0.19632000000000002</v>
      </c>
      <c r="AP59" s="185">
        <f t="shared" si="7"/>
        <v>5.5880000000000006E-2</v>
      </c>
      <c r="AQ59" s="185">
        <f t="shared" si="8"/>
        <v>0</v>
      </c>
      <c r="AR59" s="185">
        <f t="shared" si="9"/>
        <v>0</v>
      </c>
      <c r="AS59" s="185">
        <f t="shared" si="10"/>
        <v>0</v>
      </c>
      <c r="AT59" s="185">
        <f t="shared" si="11"/>
        <v>0</v>
      </c>
      <c r="AU59" s="185">
        <f t="shared" si="12"/>
        <v>0</v>
      </c>
      <c r="AV59" s="185">
        <f t="shared" si="13"/>
        <v>0</v>
      </c>
      <c r="AW59" s="185">
        <f t="shared" si="14"/>
        <v>0</v>
      </c>
      <c r="AX59" s="185">
        <f t="shared" si="15"/>
        <v>0</v>
      </c>
      <c r="AY59" s="185">
        <f t="shared" si="16"/>
        <v>0</v>
      </c>
      <c r="AZ59" s="185">
        <f t="shared" si="17"/>
        <v>0</v>
      </c>
      <c r="BA59" s="185">
        <f t="shared" si="18"/>
        <v>0</v>
      </c>
      <c r="BB59" s="185">
        <f t="shared" si="19"/>
        <v>0</v>
      </c>
      <c r="BC59" s="185">
        <f t="shared" si="20"/>
        <v>0</v>
      </c>
      <c r="BD59" s="185">
        <f t="shared" si="21"/>
        <v>0</v>
      </c>
      <c r="BE59" s="185">
        <f t="shared" si="22"/>
        <v>0</v>
      </c>
    </row>
    <row r="60" spans="1:57" s="90" customFormat="1" ht="15" hidden="1" customHeight="1" x14ac:dyDescent="0.25">
      <c r="A60" s="187" t="b">
        <v>1</v>
      </c>
      <c r="B60" s="188" t="b">
        <v>1</v>
      </c>
      <c r="C60" s="179" t="e">
        <f t="shared" si="0"/>
        <v>#N/A</v>
      </c>
      <c r="E60" s="180">
        <v>2031</v>
      </c>
      <c r="F60" s="100">
        <f t="shared" si="24"/>
        <v>73</v>
      </c>
      <c r="G60" s="181">
        <f t="shared" si="1"/>
        <v>-8</v>
      </c>
      <c r="H60" s="181" t="e">
        <f t="shared" si="23"/>
        <v>#N/A</v>
      </c>
      <c r="J60" s="182">
        <v>0.1</v>
      </c>
      <c r="K60" s="101"/>
      <c r="L60" s="183" t="e">
        <f t="shared" si="2"/>
        <v>#N/A</v>
      </c>
      <c r="M60" s="184"/>
      <c r="N60" s="91"/>
      <c r="O60" s="91"/>
      <c r="P60" s="90">
        <v>0</v>
      </c>
      <c r="Q60" s="87">
        <v>1</v>
      </c>
      <c r="R60" s="185">
        <v>0.1419</v>
      </c>
      <c r="S60" s="185">
        <v>0.12468000000000001</v>
      </c>
      <c r="T60" s="185">
        <v>0.19632000000000002</v>
      </c>
      <c r="U60" s="185">
        <v>5.5880000000000006E-2</v>
      </c>
      <c r="V60" s="182">
        <v>0</v>
      </c>
      <c r="W60" s="182">
        <v>0</v>
      </c>
      <c r="X60" s="182">
        <v>0</v>
      </c>
      <c r="Y60" s="182">
        <v>0</v>
      </c>
      <c r="Z60" s="182">
        <v>0</v>
      </c>
      <c r="AA60" s="182">
        <v>0</v>
      </c>
      <c r="AB60" s="182">
        <v>0</v>
      </c>
      <c r="AC60" s="182">
        <v>0</v>
      </c>
      <c r="AD60" s="182">
        <v>0</v>
      </c>
      <c r="AE60" s="182">
        <v>0</v>
      </c>
      <c r="AF60" s="182">
        <v>0</v>
      </c>
      <c r="AG60" s="182">
        <v>0</v>
      </c>
      <c r="AH60" s="182">
        <v>0</v>
      </c>
      <c r="AI60" s="182">
        <v>0</v>
      </c>
      <c r="AJ60" s="182">
        <v>0</v>
      </c>
      <c r="AL60" s="185">
        <f t="shared" si="3"/>
        <v>1</v>
      </c>
      <c r="AM60" s="185">
        <f t="shared" si="4"/>
        <v>0.1419</v>
      </c>
      <c r="AN60" s="185">
        <f t="shared" si="5"/>
        <v>0.12468000000000001</v>
      </c>
      <c r="AO60" s="185">
        <f t="shared" si="6"/>
        <v>0.19632000000000002</v>
      </c>
      <c r="AP60" s="185">
        <f t="shared" si="7"/>
        <v>5.5880000000000006E-2</v>
      </c>
      <c r="AQ60" s="185">
        <f t="shared" si="8"/>
        <v>0</v>
      </c>
      <c r="AR60" s="185">
        <f t="shared" si="9"/>
        <v>0</v>
      </c>
      <c r="AS60" s="185">
        <f t="shared" si="10"/>
        <v>0</v>
      </c>
      <c r="AT60" s="185">
        <f t="shared" si="11"/>
        <v>0</v>
      </c>
      <c r="AU60" s="185">
        <f t="shared" si="12"/>
        <v>0</v>
      </c>
      <c r="AV60" s="185">
        <f t="shared" si="13"/>
        <v>0</v>
      </c>
      <c r="AW60" s="185">
        <f t="shared" si="14"/>
        <v>0</v>
      </c>
      <c r="AX60" s="185">
        <f t="shared" si="15"/>
        <v>0</v>
      </c>
      <c r="AY60" s="185">
        <f t="shared" si="16"/>
        <v>0</v>
      </c>
      <c r="AZ60" s="185">
        <f t="shared" si="17"/>
        <v>0</v>
      </c>
      <c r="BA60" s="185">
        <f t="shared" si="18"/>
        <v>0</v>
      </c>
      <c r="BB60" s="185">
        <f t="shared" si="19"/>
        <v>0</v>
      </c>
      <c r="BC60" s="185">
        <f t="shared" si="20"/>
        <v>0</v>
      </c>
      <c r="BD60" s="185">
        <f t="shared" si="21"/>
        <v>0</v>
      </c>
      <c r="BE60" s="185">
        <f t="shared" si="22"/>
        <v>0</v>
      </c>
    </row>
    <row r="61" spans="1:57" s="90" customFormat="1" ht="15" hidden="1" customHeight="1" x14ac:dyDescent="0.25">
      <c r="A61" s="187" t="b">
        <v>1</v>
      </c>
      <c r="B61" s="188" t="b">
        <v>1</v>
      </c>
      <c r="C61" s="179" t="e">
        <f t="shared" si="0"/>
        <v>#N/A</v>
      </c>
      <c r="E61" s="180">
        <v>2032</v>
      </c>
      <c r="F61" s="100">
        <f t="shared" si="24"/>
        <v>74</v>
      </c>
      <c r="G61" s="181">
        <f t="shared" si="1"/>
        <v>-9</v>
      </c>
      <c r="H61" s="181" t="e">
        <f t="shared" si="23"/>
        <v>#N/A</v>
      </c>
      <c r="J61" s="182">
        <v>0.1</v>
      </c>
      <c r="K61" s="101"/>
      <c r="L61" s="183" t="e">
        <f t="shared" si="2"/>
        <v>#N/A</v>
      </c>
      <c r="M61" s="184"/>
      <c r="N61" s="91"/>
      <c r="O61" s="91"/>
      <c r="P61" s="90">
        <v>0</v>
      </c>
      <c r="Q61" s="87">
        <v>1</v>
      </c>
      <c r="R61" s="185">
        <v>0.1419</v>
      </c>
      <c r="S61" s="185">
        <v>0.12468000000000001</v>
      </c>
      <c r="T61" s="185">
        <v>0.19632000000000002</v>
      </c>
      <c r="U61" s="185">
        <v>5.5880000000000006E-2</v>
      </c>
      <c r="V61" s="182">
        <v>0</v>
      </c>
      <c r="W61" s="182">
        <v>0</v>
      </c>
      <c r="X61" s="182">
        <v>0</v>
      </c>
      <c r="Y61" s="182">
        <v>0</v>
      </c>
      <c r="Z61" s="182">
        <v>0</v>
      </c>
      <c r="AA61" s="182">
        <v>0</v>
      </c>
      <c r="AB61" s="182">
        <v>0</v>
      </c>
      <c r="AC61" s="182">
        <v>0</v>
      </c>
      <c r="AD61" s="182">
        <v>0</v>
      </c>
      <c r="AE61" s="182">
        <v>0</v>
      </c>
      <c r="AF61" s="182">
        <v>0</v>
      </c>
      <c r="AG61" s="182">
        <v>0</v>
      </c>
      <c r="AH61" s="182">
        <v>0</v>
      </c>
      <c r="AI61" s="182">
        <v>0</v>
      </c>
      <c r="AJ61" s="182">
        <v>0</v>
      </c>
      <c r="AL61" s="185">
        <f t="shared" si="3"/>
        <v>1</v>
      </c>
      <c r="AM61" s="185">
        <f t="shared" si="4"/>
        <v>0.1419</v>
      </c>
      <c r="AN61" s="185">
        <f t="shared" si="5"/>
        <v>0.12468000000000001</v>
      </c>
      <c r="AO61" s="185">
        <f t="shared" si="6"/>
        <v>0.19632000000000002</v>
      </c>
      <c r="AP61" s="185">
        <f t="shared" si="7"/>
        <v>5.5880000000000006E-2</v>
      </c>
      <c r="AQ61" s="185">
        <f t="shared" si="8"/>
        <v>0</v>
      </c>
      <c r="AR61" s="185">
        <f t="shared" si="9"/>
        <v>0</v>
      </c>
      <c r="AS61" s="185">
        <f t="shared" si="10"/>
        <v>0</v>
      </c>
      <c r="AT61" s="185">
        <f t="shared" si="11"/>
        <v>0</v>
      </c>
      <c r="AU61" s="185">
        <f t="shared" si="12"/>
        <v>0</v>
      </c>
      <c r="AV61" s="185">
        <f t="shared" si="13"/>
        <v>0</v>
      </c>
      <c r="AW61" s="185">
        <f t="shared" si="14"/>
        <v>0</v>
      </c>
      <c r="AX61" s="185">
        <f t="shared" si="15"/>
        <v>0</v>
      </c>
      <c r="AY61" s="185">
        <f t="shared" si="16"/>
        <v>0</v>
      </c>
      <c r="AZ61" s="185">
        <f t="shared" si="17"/>
        <v>0</v>
      </c>
      <c r="BA61" s="185">
        <f t="shared" si="18"/>
        <v>0</v>
      </c>
      <c r="BB61" s="185">
        <f t="shared" si="19"/>
        <v>0</v>
      </c>
      <c r="BC61" s="185">
        <f t="shared" si="20"/>
        <v>0</v>
      </c>
      <c r="BD61" s="185">
        <f t="shared" si="21"/>
        <v>0</v>
      </c>
      <c r="BE61" s="185">
        <f t="shared" si="22"/>
        <v>0</v>
      </c>
    </row>
    <row r="62" spans="1:57" s="90" customFormat="1" ht="15" hidden="1" customHeight="1" x14ac:dyDescent="0.25">
      <c r="A62" s="187" t="b">
        <v>1</v>
      </c>
      <c r="B62" s="188" t="b">
        <v>1</v>
      </c>
      <c r="C62" s="179" t="e">
        <f t="shared" si="0"/>
        <v>#N/A</v>
      </c>
      <c r="E62" s="180">
        <v>2033</v>
      </c>
      <c r="F62" s="100">
        <f t="shared" si="24"/>
        <v>75</v>
      </c>
      <c r="G62" s="181">
        <f t="shared" si="1"/>
        <v>-10</v>
      </c>
      <c r="H62" s="181" t="e">
        <f t="shared" si="23"/>
        <v>#N/A</v>
      </c>
      <c r="J62" s="182">
        <v>0.1</v>
      </c>
      <c r="K62" s="101"/>
      <c r="L62" s="183" t="e">
        <f t="shared" si="2"/>
        <v>#N/A</v>
      </c>
      <c r="M62" s="184"/>
      <c r="N62" s="91"/>
      <c r="O62" s="91"/>
      <c r="P62" s="90">
        <v>0</v>
      </c>
      <c r="Q62" s="87">
        <v>1</v>
      </c>
      <c r="R62" s="185">
        <v>0.1419</v>
      </c>
      <c r="S62" s="185">
        <v>0.12468000000000001</v>
      </c>
      <c r="T62" s="185">
        <v>0.19632000000000002</v>
      </c>
      <c r="U62" s="185">
        <v>5.5880000000000006E-2</v>
      </c>
      <c r="V62" s="182">
        <v>0</v>
      </c>
      <c r="W62" s="182">
        <v>0</v>
      </c>
      <c r="X62" s="182">
        <v>0</v>
      </c>
      <c r="Y62" s="182">
        <v>0</v>
      </c>
      <c r="Z62" s="182">
        <v>0</v>
      </c>
      <c r="AA62" s="182">
        <v>0</v>
      </c>
      <c r="AB62" s="182">
        <v>0</v>
      </c>
      <c r="AC62" s="182">
        <v>0</v>
      </c>
      <c r="AD62" s="182">
        <v>0</v>
      </c>
      <c r="AE62" s="182">
        <v>0</v>
      </c>
      <c r="AF62" s="182">
        <v>0</v>
      </c>
      <c r="AG62" s="182">
        <v>0</v>
      </c>
      <c r="AH62" s="182">
        <v>0</v>
      </c>
      <c r="AI62" s="182">
        <v>0</v>
      </c>
      <c r="AJ62" s="182">
        <v>0</v>
      </c>
      <c r="AL62" s="185">
        <f t="shared" si="3"/>
        <v>1</v>
      </c>
      <c r="AM62" s="185">
        <f t="shared" si="4"/>
        <v>0.1419</v>
      </c>
      <c r="AN62" s="185">
        <f t="shared" si="5"/>
        <v>0.12468000000000001</v>
      </c>
      <c r="AO62" s="185">
        <f t="shared" si="6"/>
        <v>0.19632000000000002</v>
      </c>
      <c r="AP62" s="185">
        <f t="shared" si="7"/>
        <v>5.5880000000000006E-2</v>
      </c>
      <c r="AQ62" s="185">
        <f t="shared" si="8"/>
        <v>0</v>
      </c>
      <c r="AR62" s="185">
        <f t="shared" si="9"/>
        <v>0</v>
      </c>
      <c r="AS62" s="185">
        <f t="shared" si="10"/>
        <v>0</v>
      </c>
      <c r="AT62" s="185">
        <f t="shared" si="11"/>
        <v>0</v>
      </c>
      <c r="AU62" s="185">
        <f t="shared" si="12"/>
        <v>0</v>
      </c>
      <c r="AV62" s="185">
        <f t="shared" si="13"/>
        <v>0</v>
      </c>
      <c r="AW62" s="185">
        <f t="shared" si="14"/>
        <v>0</v>
      </c>
      <c r="AX62" s="185">
        <f t="shared" si="15"/>
        <v>0</v>
      </c>
      <c r="AY62" s="185">
        <f t="shared" si="16"/>
        <v>0</v>
      </c>
      <c r="AZ62" s="185">
        <f t="shared" si="17"/>
        <v>0</v>
      </c>
      <c r="BA62" s="185">
        <f t="shared" si="18"/>
        <v>0</v>
      </c>
      <c r="BB62" s="185">
        <f t="shared" si="19"/>
        <v>0</v>
      </c>
      <c r="BC62" s="185">
        <f t="shared" si="20"/>
        <v>0</v>
      </c>
      <c r="BD62" s="185">
        <f t="shared" si="21"/>
        <v>0</v>
      </c>
      <c r="BE62" s="185">
        <f t="shared" si="22"/>
        <v>0</v>
      </c>
    </row>
    <row r="63" spans="1:57" s="90" customFormat="1" ht="15" hidden="1" customHeight="1" x14ac:dyDescent="0.25">
      <c r="A63" s="187" t="b">
        <v>1</v>
      </c>
      <c r="B63" s="188" t="b">
        <v>1</v>
      </c>
      <c r="C63" s="179" t="e">
        <f t="shared" si="0"/>
        <v>#N/A</v>
      </c>
      <c r="E63" s="180">
        <v>2034</v>
      </c>
      <c r="F63" s="100">
        <f t="shared" si="24"/>
        <v>76</v>
      </c>
      <c r="G63" s="181">
        <f t="shared" si="1"/>
        <v>-11</v>
      </c>
      <c r="H63" s="181" t="e">
        <f t="shared" si="23"/>
        <v>#N/A</v>
      </c>
      <c r="J63" s="182">
        <v>0.1</v>
      </c>
      <c r="K63" s="101"/>
      <c r="L63" s="183" t="e">
        <f t="shared" si="2"/>
        <v>#N/A</v>
      </c>
      <c r="M63" s="184"/>
      <c r="N63" s="91"/>
      <c r="O63" s="91"/>
      <c r="P63" s="90">
        <v>0</v>
      </c>
      <c r="Q63" s="87">
        <v>1</v>
      </c>
      <c r="R63" s="185">
        <v>0.1419</v>
      </c>
      <c r="S63" s="185">
        <v>0.12468000000000001</v>
      </c>
      <c r="T63" s="185">
        <v>0.19632000000000002</v>
      </c>
      <c r="U63" s="185">
        <v>5.5880000000000006E-2</v>
      </c>
      <c r="V63" s="182">
        <v>0</v>
      </c>
      <c r="W63" s="182">
        <v>0</v>
      </c>
      <c r="X63" s="182">
        <v>0</v>
      </c>
      <c r="Y63" s="182">
        <v>0</v>
      </c>
      <c r="Z63" s="182">
        <v>0</v>
      </c>
      <c r="AA63" s="182">
        <v>0</v>
      </c>
      <c r="AB63" s="182">
        <v>0</v>
      </c>
      <c r="AC63" s="182">
        <v>0</v>
      </c>
      <c r="AD63" s="182">
        <v>0</v>
      </c>
      <c r="AE63" s="182">
        <v>0</v>
      </c>
      <c r="AF63" s="182">
        <v>0</v>
      </c>
      <c r="AG63" s="182">
        <v>0</v>
      </c>
      <c r="AH63" s="182">
        <v>0</v>
      </c>
      <c r="AI63" s="182">
        <v>0</v>
      </c>
      <c r="AJ63" s="182">
        <v>0</v>
      </c>
      <c r="AL63" s="185">
        <f t="shared" si="3"/>
        <v>1</v>
      </c>
      <c r="AM63" s="185">
        <f t="shared" si="4"/>
        <v>0.1419</v>
      </c>
      <c r="AN63" s="185">
        <f t="shared" si="5"/>
        <v>0.12468000000000001</v>
      </c>
      <c r="AO63" s="185">
        <f t="shared" si="6"/>
        <v>0.19632000000000002</v>
      </c>
      <c r="AP63" s="185">
        <f t="shared" si="7"/>
        <v>5.5880000000000006E-2</v>
      </c>
      <c r="AQ63" s="185">
        <f t="shared" si="8"/>
        <v>0</v>
      </c>
      <c r="AR63" s="185">
        <f t="shared" si="9"/>
        <v>0</v>
      </c>
      <c r="AS63" s="185">
        <f t="shared" si="10"/>
        <v>0</v>
      </c>
      <c r="AT63" s="185">
        <f t="shared" si="11"/>
        <v>0</v>
      </c>
      <c r="AU63" s="185">
        <f t="shared" si="12"/>
        <v>0</v>
      </c>
      <c r="AV63" s="185">
        <f t="shared" si="13"/>
        <v>0</v>
      </c>
      <c r="AW63" s="185">
        <f t="shared" si="14"/>
        <v>0</v>
      </c>
      <c r="AX63" s="185">
        <f t="shared" si="15"/>
        <v>0</v>
      </c>
      <c r="AY63" s="185">
        <f t="shared" si="16"/>
        <v>0</v>
      </c>
      <c r="AZ63" s="185">
        <f t="shared" si="17"/>
        <v>0</v>
      </c>
      <c r="BA63" s="185">
        <f t="shared" si="18"/>
        <v>0</v>
      </c>
      <c r="BB63" s="185">
        <f t="shared" si="19"/>
        <v>0</v>
      </c>
      <c r="BC63" s="185">
        <f t="shared" si="20"/>
        <v>0</v>
      </c>
      <c r="BD63" s="185">
        <f t="shared" si="21"/>
        <v>0</v>
      </c>
      <c r="BE63" s="185">
        <f t="shared" si="22"/>
        <v>0</v>
      </c>
    </row>
    <row r="64" spans="1:57" s="90" customFormat="1" ht="15" hidden="1" customHeight="1" x14ac:dyDescent="0.25">
      <c r="A64" s="187" t="b">
        <v>1</v>
      </c>
      <c r="B64" s="188" t="b">
        <v>1</v>
      </c>
      <c r="C64" s="179" t="e">
        <f t="shared" si="0"/>
        <v>#N/A</v>
      </c>
      <c r="E64" s="180">
        <v>2035</v>
      </c>
      <c r="F64" s="100">
        <f t="shared" si="24"/>
        <v>77</v>
      </c>
      <c r="G64" s="181">
        <f t="shared" si="1"/>
        <v>-12</v>
      </c>
      <c r="H64" s="181" t="e">
        <f t="shared" si="23"/>
        <v>#N/A</v>
      </c>
      <c r="J64" s="182">
        <v>0.1</v>
      </c>
      <c r="K64" s="101"/>
      <c r="L64" s="183" t="e">
        <f t="shared" si="2"/>
        <v>#N/A</v>
      </c>
      <c r="M64" s="184"/>
      <c r="N64" s="91"/>
      <c r="O64" s="91"/>
      <c r="P64" s="90">
        <v>0</v>
      </c>
      <c r="Q64" s="87">
        <v>1</v>
      </c>
      <c r="R64" s="185">
        <v>0.1419</v>
      </c>
      <c r="S64" s="185">
        <v>0.12468000000000001</v>
      </c>
      <c r="T64" s="185">
        <v>0.19632000000000002</v>
      </c>
      <c r="U64" s="185">
        <v>5.5880000000000006E-2</v>
      </c>
      <c r="V64" s="182">
        <v>0</v>
      </c>
      <c r="W64" s="182">
        <v>0</v>
      </c>
      <c r="X64" s="182">
        <v>0</v>
      </c>
      <c r="Y64" s="182">
        <v>0</v>
      </c>
      <c r="Z64" s="182">
        <v>0</v>
      </c>
      <c r="AA64" s="182">
        <v>0</v>
      </c>
      <c r="AB64" s="182">
        <v>0</v>
      </c>
      <c r="AC64" s="182">
        <v>0</v>
      </c>
      <c r="AD64" s="182">
        <v>0</v>
      </c>
      <c r="AE64" s="182">
        <v>0</v>
      </c>
      <c r="AF64" s="182">
        <v>0</v>
      </c>
      <c r="AG64" s="182">
        <v>0</v>
      </c>
      <c r="AH64" s="182">
        <v>0</v>
      </c>
      <c r="AI64" s="182">
        <v>0</v>
      </c>
      <c r="AJ64" s="182">
        <v>0</v>
      </c>
      <c r="AL64" s="185">
        <f t="shared" si="3"/>
        <v>1</v>
      </c>
      <c r="AM64" s="185">
        <f t="shared" si="4"/>
        <v>0.1419</v>
      </c>
      <c r="AN64" s="185">
        <f t="shared" si="5"/>
        <v>0.12468000000000001</v>
      </c>
      <c r="AO64" s="185">
        <f t="shared" si="6"/>
        <v>0.19632000000000002</v>
      </c>
      <c r="AP64" s="185">
        <f t="shared" si="7"/>
        <v>5.5880000000000006E-2</v>
      </c>
      <c r="AQ64" s="185">
        <f t="shared" si="8"/>
        <v>0</v>
      </c>
      <c r="AR64" s="185">
        <f t="shared" si="9"/>
        <v>0</v>
      </c>
      <c r="AS64" s="185">
        <f t="shared" si="10"/>
        <v>0</v>
      </c>
      <c r="AT64" s="185">
        <f t="shared" si="11"/>
        <v>0</v>
      </c>
      <c r="AU64" s="185">
        <f t="shared" si="12"/>
        <v>0</v>
      </c>
      <c r="AV64" s="185">
        <f t="shared" si="13"/>
        <v>0</v>
      </c>
      <c r="AW64" s="185">
        <f t="shared" si="14"/>
        <v>0</v>
      </c>
      <c r="AX64" s="185">
        <f t="shared" si="15"/>
        <v>0</v>
      </c>
      <c r="AY64" s="185">
        <f t="shared" si="16"/>
        <v>0</v>
      </c>
      <c r="AZ64" s="185">
        <f t="shared" si="17"/>
        <v>0</v>
      </c>
      <c r="BA64" s="185">
        <f t="shared" si="18"/>
        <v>0</v>
      </c>
      <c r="BB64" s="185">
        <f t="shared" si="19"/>
        <v>0</v>
      </c>
      <c r="BC64" s="185">
        <f t="shared" si="20"/>
        <v>0</v>
      </c>
      <c r="BD64" s="185">
        <f t="shared" si="21"/>
        <v>0</v>
      </c>
      <c r="BE64" s="185">
        <f t="shared" si="22"/>
        <v>0</v>
      </c>
    </row>
    <row r="65" spans="1:57" s="90" customFormat="1" ht="15" hidden="1" customHeight="1" x14ac:dyDescent="0.25">
      <c r="A65" s="187" t="b">
        <v>1</v>
      </c>
      <c r="B65" s="188" t="b">
        <v>1</v>
      </c>
      <c r="C65" s="179" t="e">
        <f t="shared" si="0"/>
        <v>#N/A</v>
      </c>
      <c r="E65" s="180">
        <v>2036</v>
      </c>
      <c r="F65" s="100">
        <f t="shared" si="24"/>
        <v>78</v>
      </c>
      <c r="G65" s="181">
        <f t="shared" si="1"/>
        <v>-13</v>
      </c>
      <c r="H65" s="181" t="e">
        <f t="shared" si="23"/>
        <v>#N/A</v>
      </c>
      <c r="J65" s="182">
        <v>0.1</v>
      </c>
      <c r="K65" s="101"/>
      <c r="L65" s="183" t="e">
        <f t="shared" si="2"/>
        <v>#N/A</v>
      </c>
      <c r="M65" s="184"/>
      <c r="N65" s="91"/>
      <c r="O65" s="91"/>
      <c r="P65" s="90">
        <v>0</v>
      </c>
      <c r="Q65" s="87">
        <v>1</v>
      </c>
      <c r="R65" s="185">
        <v>0.1419</v>
      </c>
      <c r="S65" s="185">
        <v>0.12468000000000001</v>
      </c>
      <c r="T65" s="185">
        <v>0.19632000000000002</v>
      </c>
      <c r="U65" s="185">
        <v>5.5880000000000006E-2</v>
      </c>
      <c r="V65" s="182">
        <v>0</v>
      </c>
      <c r="W65" s="182">
        <v>0</v>
      </c>
      <c r="X65" s="182">
        <v>0</v>
      </c>
      <c r="Y65" s="182">
        <v>0</v>
      </c>
      <c r="Z65" s="182">
        <v>0</v>
      </c>
      <c r="AA65" s="182">
        <v>0</v>
      </c>
      <c r="AB65" s="182">
        <v>0</v>
      </c>
      <c r="AC65" s="182">
        <v>0</v>
      </c>
      <c r="AD65" s="182">
        <v>0</v>
      </c>
      <c r="AE65" s="182">
        <v>0</v>
      </c>
      <c r="AF65" s="182">
        <v>0</v>
      </c>
      <c r="AG65" s="182">
        <v>0</v>
      </c>
      <c r="AH65" s="182">
        <v>0</v>
      </c>
      <c r="AI65" s="182">
        <v>0</v>
      </c>
      <c r="AJ65" s="182">
        <v>0</v>
      </c>
      <c r="AL65" s="185">
        <f t="shared" si="3"/>
        <v>1</v>
      </c>
      <c r="AM65" s="185">
        <f t="shared" si="4"/>
        <v>0.1419</v>
      </c>
      <c r="AN65" s="185">
        <f t="shared" si="5"/>
        <v>0.12468000000000001</v>
      </c>
      <c r="AO65" s="185">
        <f t="shared" si="6"/>
        <v>0.19632000000000002</v>
      </c>
      <c r="AP65" s="185">
        <f t="shared" si="7"/>
        <v>5.5880000000000006E-2</v>
      </c>
      <c r="AQ65" s="185">
        <f t="shared" si="8"/>
        <v>0</v>
      </c>
      <c r="AR65" s="185">
        <f t="shared" si="9"/>
        <v>0</v>
      </c>
      <c r="AS65" s="185">
        <f t="shared" si="10"/>
        <v>0</v>
      </c>
      <c r="AT65" s="185">
        <f t="shared" si="11"/>
        <v>0</v>
      </c>
      <c r="AU65" s="185">
        <f t="shared" si="12"/>
        <v>0</v>
      </c>
      <c r="AV65" s="185">
        <f t="shared" si="13"/>
        <v>0</v>
      </c>
      <c r="AW65" s="185">
        <f t="shared" si="14"/>
        <v>0</v>
      </c>
      <c r="AX65" s="185">
        <f t="shared" si="15"/>
        <v>0</v>
      </c>
      <c r="AY65" s="185">
        <f t="shared" si="16"/>
        <v>0</v>
      </c>
      <c r="AZ65" s="185">
        <f t="shared" si="17"/>
        <v>0</v>
      </c>
      <c r="BA65" s="185">
        <f t="shared" si="18"/>
        <v>0</v>
      </c>
      <c r="BB65" s="185">
        <f t="shared" si="19"/>
        <v>0</v>
      </c>
      <c r="BC65" s="185">
        <f t="shared" si="20"/>
        <v>0</v>
      </c>
      <c r="BD65" s="185">
        <f t="shared" si="21"/>
        <v>0</v>
      </c>
      <c r="BE65" s="185">
        <f t="shared" si="22"/>
        <v>0</v>
      </c>
    </row>
    <row r="66" spans="1:57" s="90" customFormat="1" ht="15" hidden="1" customHeight="1" x14ac:dyDescent="0.25">
      <c r="A66" s="187" t="b">
        <v>1</v>
      </c>
      <c r="B66" s="188" t="b">
        <v>1</v>
      </c>
      <c r="C66" s="179" t="e">
        <f t="shared" si="0"/>
        <v>#N/A</v>
      </c>
      <c r="E66" s="180">
        <v>2037</v>
      </c>
      <c r="F66" s="100">
        <f t="shared" si="24"/>
        <v>79</v>
      </c>
      <c r="G66" s="181">
        <f t="shared" si="1"/>
        <v>-14</v>
      </c>
      <c r="H66" s="181" t="e">
        <f t="shared" si="23"/>
        <v>#N/A</v>
      </c>
      <c r="J66" s="182">
        <v>0.1</v>
      </c>
      <c r="K66" s="101"/>
      <c r="L66" s="183" t="e">
        <f t="shared" si="2"/>
        <v>#N/A</v>
      </c>
      <c r="M66" s="184"/>
      <c r="N66" s="91"/>
      <c r="O66" s="91"/>
      <c r="P66" s="90">
        <v>0</v>
      </c>
      <c r="Q66" s="87">
        <v>1</v>
      </c>
      <c r="R66" s="185">
        <v>0.1419</v>
      </c>
      <c r="S66" s="185">
        <v>0.12468000000000001</v>
      </c>
      <c r="T66" s="185">
        <v>0.19632000000000002</v>
      </c>
      <c r="U66" s="185">
        <v>5.5880000000000006E-2</v>
      </c>
      <c r="V66" s="182">
        <v>0</v>
      </c>
      <c r="W66" s="182">
        <v>0</v>
      </c>
      <c r="X66" s="182">
        <v>0</v>
      </c>
      <c r="Y66" s="182">
        <v>0</v>
      </c>
      <c r="Z66" s="182">
        <v>0</v>
      </c>
      <c r="AA66" s="182">
        <v>0</v>
      </c>
      <c r="AB66" s="182">
        <v>0</v>
      </c>
      <c r="AC66" s="182">
        <v>0</v>
      </c>
      <c r="AD66" s="182">
        <v>0</v>
      </c>
      <c r="AE66" s="182">
        <v>0</v>
      </c>
      <c r="AF66" s="182">
        <v>0</v>
      </c>
      <c r="AG66" s="182">
        <v>0</v>
      </c>
      <c r="AH66" s="182">
        <v>0</v>
      </c>
      <c r="AI66" s="182">
        <v>0</v>
      </c>
      <c r="AJ66" s="182">
        <v>0</v>
      </c>
      <c r="AL66" s="185">
        <f t="shared" si="3"/>
        <v>1</v>
      </c>
      <c r="AM66" s="185">
        <f t="shared" si="4"/>
        <v>0.1419</v>
      </c>
      <c r="AN66" s="185">
        <f t="shared" si="5"/>
        <v>0.12468000000000001</v>
      </c>
      <c r="AO66" s="185">
        <f t="shared" si="6"/>
        <v>0.19632000000000002</v>
      </c>
      <c r="AP66" s="185">
        <f t="shared" si="7"/>
        <v>5.5880000000000006E-2</v>
      </c>
      <c r="AQ66" s="185">
        <f t="shared" si="8"/>
        <v>0</v>
      </c>
      <c r="AR66" s="185">
        <f t="shared" si="9"/>
        <v>0</v>
      </c>
      <c r="AS66" s="185">
        <f t="shared" si="10"/>
        <v>0</v>
      </c>
      <c r="AT66" s="185">
        <f t="shared" si="11"/>
        <v>0</v>
      </c>
      <c r="AU66" s="185">
        <f t="shared" si="12"/>
        <v>0</v>
      </c>
      <c r="AV66" s="185">
        <f t="shared" si="13"/>
        <v>0</v>
      </c>
      <c r="AW66" s="185">
        <f t="shared" si="14"/>
        <v>0</v>
      </c>
      <c r="AX66" s="185">
        <f t="shared" si="15"/>
        <v>0</v>
      </c>
      <c r="AY66" s="185">
        <f t="shared" si="16"/>
        <v>0</v>
      </c>
      <c r="AZ66" s="185">
        <f t="shared" si="17"/>
        <v>0</v>
      </c>
      <c r="BA66" s="185">
        <f t="shared" si="18"/>
        <v>0</v>
      </c>
      <c r="BB66" s="185">
        <f t="shared" si="19"/>
        <v>0</v>
      </c>
      <c r="BC66" s="185">
        <f t="shared" si="20"/>
        <v>0</v>
      </c>
      <c r="BD66" s="185">
        <f t="shared" si="21"/>
        <v>0</v>
      </c>
      <c r="BE66" s="185">
        <f t="shared" si="22"/>
        <v>0</v>
      </c>
    </row>
    <row r="67" spans="1:57" s="90" customFormat="1" ht="15" hidden="1" customHeight="1" x14ac:dyDescent="0.25">
      <c r="A67" s="187" t="b">
        <v>1</v>
      </c>
      <c r="B67" s="188" t="b">
        <v>1</v>
      </c>
      <c r="C67" s="179" t="e">
        <f t="shared" si="0"/>
        <v>#N/A</v>
      </c>
      <c r="E67" s="180">
        <v>2038</v>
      </c>
      <c r="F67" s="100">
        <f t="shared" si="24"/>
        <v>80</v>
      </c>
      <c r="G67" s="181">
        <f t="shared" si="1"/>
        <v>-15</v>
      </c>
      <c r="H67" s="181" t="e">
        <f t="shared" si="23"/>
        <v>#N/A</v>
      </c>
      <c r="J67" s="182">
        <v>0.1</v>
      </c>
      <c r="K67" s="101"/>
      <c r="L67" s="183" t="e">
        <f t="shared" si="2"/>
        <v>#N/A</v>
      </c>
      <c r="M67" s="184"/>
      <c r="N67" s="91"/>
      <c r="O67" s="91"/>
      <c r="P67" s="90">
        <v>0</v>
      </c>
      <c r="Q67" s="87">
        <v>1</v>
      </c>
      <c r="R67" s="185">
        <v>0.1419</v>
      </c>
      <c r="S67" s="185">
        <v>0.12468000000000001</v>
      </c>
      <c r="T67" s="185">
        <v>0.19632000000000002</v>
      </c>
      <c r="U67" s="185">
        <v>5.5880000000000006E-2</v>
      </c>
      <c r="V67" s="182">
        <v>0</v>
      </c>
      <c r="W67" s="182">
        <v>0</v>
      </c>
      <c r="X67" s="182">
        <v>0</v>
      </c>
      <c r="Y67" s="182">
        <v>0</v>
      </c>
      <c r="Z67" s="182">
        <v>0</v>
      </c>
      <c r="AA67" s="182">
        <v>0</v>
      </c>
      <c r="AB67" s="182">
        <v>0</v>
      </c>
      <c r="AC67" s="182">
        <v>0</v>
      </c>
      <c r="AD67" s="182">
        <v>0</v>
      </c>
      <c r="AE67" s="182">
        <v>0</v>
      </c>
      <c r="AF67" s="182">
        <v>0</v>
      </c>
      <c r="AG67" s="182">
        <v>0</v>
      </c>
      <c r="AH67" s="182">
        <v>0</v>
      </c>
      <c r="AI67" s="182">
        <v>0</v>
      </c>
      <c r="AJ67" s="182">
        <v>0</v>
      </c>
      <c r="AL67" s="185">
        <f t="shared" si="3"/>
        <v>1</v>
      </c>
      <c r="AM67" s="185">
        <f t="shared" si="4"/>
        <v>0.1419</v>
      </c>
      <c r="AN67" s="185">
        <f t="shared" si="5"/>
        <v>0.12468000000000001</v>
      </c>
      <c r="AO67" s="185">
        <f t="shared" si="6"/>
        <v>0.19632000000000002</v>
      </c>
      <c r="AP67" s="185">
        <f t="shared" si="7"/>
        <v>5.5880000000000006E-2</v>
      </c>
      <c r="AQ67" s="185">
        <f t="shared" si="8"/>
        <v>0</v>
      </c>
      <c r="AR67" s="185">
        <f t="shared" si="9"/>
        <v>0</v>
      </c>
      <c r="AS67" s="185">
        <f t="shared" si="10"/>
        <v>0</v>
      </c>
      <c r="AT67" s="185">
        <f t="shared" si="11"/>
        <v>0</v>
      </c>
      <c r="AU67" s="185">
        <f t="shared" si="12"/>
        <v>0</v>
      </c>
      <c r="AV67" s="185">
        <f t="shared" si="13"/>
        <v>0</v>
      </c>
      <c r="AW67" s="185">
        <f t="shared" si="14"/>
        <v>0</v>
      </c>
      <c r="AX67" s="185">
        <f t="shared" si="15"/>
        <v>0</v>
      </c>
      <c r="AY67" s="185">
        <f t="shared" si="16"/>
        <v>0</v>
      </c>
      <c r="AZ67" s="185">
        <f t="shared" si="17"/>
        <v>0</v>
      </c>
      <c r="BA67" s="185">
        <f t="shared" si="18"/>
        <v>0</v>
      </c>
      <c r="BB67" s="185">
        <f t="shared" si="19"/>
        <v>0</v>
      </c>
      <c r="BC67" s="185">
        <f t="shared" si="20"/>
        <v>0</v>
      </c>
      <c r="BD67" s="185">
        <f t="shared" si="21"/>
        <v>0</v>
      </c>
      <c r="BE67" s="185">
        <f t="shared" si="22"/>
        <v>0</v>
      </c>
    </row>
    <row r="68" spans="1:57" s="90" customFormat="1" ht="15" hidden="1" customHeight="1" x14ac:dyDescent="0.25">
      <c r="A68" s="187" t="b">
        <v>1</v>
      </c>
      <c r="B68" s="188" t="b">
        <v>1</v>
      </c>
      <c r="C68" s="179" t="e">
        <f t="shared" si="0"/>
        <v>#N/A</v>
      </c>
      <c r="E68" s="180">
        <v>2039</v>
      </c>
      <c r="F68" s="100">
        <f t="shared" si="24"/>
        <v>81</v>
      </c>
      <c r="G68" s="181">
        <f t="shared" si="1"/>
        <v>-16</v>
      </c>
      <c r="H68" s="181" t="e">
        <f t="shared" si="23"/>
        <v>#N/A</v>
      </c>
      <c r="J68" s="182">
        <v>0.1</v>
      </c>
      <c r="K68" s="101"/>
      <c r="L68" s="183" t="e">
        <f t="shared" si="2"/>
        <v>#N/A</v>
      </c>
      <c r="M68" s="184"/>
      <c r="N68" s="91"/>
      <c r="O68" s="91"/>
      <c r="P68" s="90">
        <v>0</v>
      </c>
      <c r="Q68" s="87">
        <v>1</v>
      </c>
      <c r="R68" s="185">
        <v>0.1419</v>
      </c>
      <c r="S68" s="185">
        <v>0.12468000000000001</v>
      </c>
      <c r="T68" s="185">
        <v>0.19632000000000002</v>
      </c>
      <c r="U68" s="185">
        <v>5.5880000000000006E-2</v>
      </c>
      <c r="V68" s="182">
        <v>0</v>
      </c>
      <c r="W68" s="182">
        <v>0</v>
      </c>
      <c r="X68" s="182">
        <v>0</v>
      </c>
      <c r="Y68" s="182">
        <v>0</v>
      </c>
      <c r="Z68" s="182">
        <v>0</v>
      </c>
      <c r="AA68" s="182">
        <v>0</v>
      </c>
      <c r="AB68" s="182">
        <v>0</v>
      </c>
      <c r="AC68" s="182">
        <v>0</v>
      </c>
      <c r="AD68" s="182">
        <v>0</v>
      </c>
      <c r="AE68" s="182">
        <v>0</v>
      </c>
      <c r="AF68" s="182">
        <v>0</v>
      </c>
      <c r="AG68" s="182">
        <v>0</v>
      </c>
      <c r="AH68" s="182">
        <v>0</v>
      </c>
      <c r="AI68" s="182">
        <v>0</v>
      </c>
      <c r="AJ68" s="182">
        <v>0</v>
      </c>
      <c r="AL68" s="185">
        <f t="shared" si="3"/>
        <v>1</v>
      </c>
      <c r="AM68" s="185">
        <f t="shared" si="4"/>
        <v>0.1419</v>
      </c>
      <c r="AN68" s="185">
        <f t="shared" si="5"/>
        <v>0.12468000000000001</v>
      </c>
      <c r="AO68" s="185">
        <f t="shared" si="6"/>
        <v>0.19632000000000002</v>
      </c>
      <c r="AP68" s="185">
        <f t="shared" si="7"/>
        <v>5.5880000000000006E-2</v>
      </c>
      <c r="AQ68" s="185">
        <f t="shared" si="8"/>
        <v>0</v>
      </c>
      <c r="AR68" s="185">
        <f t="shared" si="9"/>
        <v>0</v>
      </c>
      <c r="AS68" s="185">
        <f t="shared" si="10"/>
        <v>0</v>
      </c>
      <c r="AT68" s="185">
        <f t="shared" si="11"/>
        <v>0</v>
      </c>
      <c r="AU68" s="185">
        <f t="shared" si="12"/>
        <v>0</v>
      </c>
      <c r="AV68" s="185">
        <f t="shared" si="13"/>
        <v>0</v>
      </c>
      <c r="AW68" s="185">
        <f t="shared" si="14"/>
        <v>0</v>
      </c>
      <c r="AX68" s="185">
        <f t="shared" si="15"/>
        <v>0</v>
      </c>
      <c r="AY68" s="185">
        <f t="shared" si="16"/>
        <v>0</v>
      </c>
      <c r="AZ68" s="185">
        <f t="shared" si="17"/>
        <v>0</v>
      </c>
      <c r="BA68" s="185">
        <f t="shared" si="18"/>
        <v>0</v>
      </c>
      <c r="BB68" s="185">
        <f t="shared" si="19"/>
        <v>0</v>
      </c>
      <c r="BC68" s="185">
        <f t="shared" si="20"/>
        <v>0</v>
      </c>
      <c r="BD68" s="185">
        <f t="shared" si="21"/>
        <v>0</v>
      </c>
      <c r="BE68" s="185">
        <f t="shared" si="22"/>
        <v>0</v>
      </c>
    </row>
    <row r="69" spans="1:57" s="90" customFormat="1" ht="15" hidden="1" customHeight="1" x14ac:dyDescent="0.25">
      <c r="A69" s="187" t="b">
        <v>1</v>
      </c>
      <c r="B69" s="188" t="b">
        <v>1</v>
      </c>
      <c r="C69" s="179" t="e">
        <f t="shared" si="0"/>
        <v>#N/A</v>
      </c>
      <c r="E69" s="180">
        <v>2040</v>
      </c>
      <c r="F69" s="100">
        <f t="shared" si="24"/>
        <v>82</v>
      </c>
      <c r="G69" s="181">
        <f t="shared" si="1"/>
        <v>-17</v>
      </c>
      <c r="H69" s="181" t="e">
        <f t="shared" si="23"/>
        <v>#N/A</v>
      </c>
      <c r="J69" s="182">
        <v>0.1</v>
      </c>
      <c r="K69" s="101"/>
      <c r="L69" s="183" t="e">
        <f t="shared" si="2"/>
        <v>#N/A</v>
      </c>
      <c r="M69" s="184"/>
      <c r="N69" s="91"/>
      <c r="O69" s="91"/>
      <c r="P69" s="90">
        <v>0</v>
      </c>
      <c r="Q69" s="87">
        <v>1</v>
      </c>
      <c r="R69" s="185">
        <v>0.1419</v>
      </c>
      <c r="S69" s="185">
        <v>0.12468000000000001</v>
      </c>
      <c r="T69" s="185">
        <v>0.19632000000000002</v>
      </c>
      <c r="U69" s="185">
        <v>5.5880000000000006E-2</v>
      </c>
      <c r="V69" s="182">
        <v>0</v>
      </c>
      <c r="W69" s="182">
        <v>0</v>
      </c>
      <c r="X69" s="182">
        <v>0</v>
      </c>
      <c r="Y69" s="182">
        <v>0</v>
      </c>
      <c r="Z69" s="182">
        <v>0</v>
      </c>
      <c r="AA69" s="182">
        <v>0</v>
      </c>
      <c r="AB69" s="182">
        <v>0</v>
      </c>
      <c r="AC69" s="182">
        <v>0</v>
      </c>
      <c r="AD69" s="182">
        <v>0</v>
      </c>
      <c r="AE69" s="182">
        <v>0</v>
      </c>
      <c r="AF69" s="182">
        <v>0</v>
      </c>
      <c r="AG69" s="182">
        <v>0</v>
      </c>
      <c r="AH69" s="182">
        <v>0</v>
      </c>
      <c r="AI69" s="182">
        <v>0</v>
      </c>
      <c r="AJ69" s="182">
        <v>0</v>
      </c>
      <c r="AL69" s="185">
        <f t="shared" si="3"/>
        <v>1</v>
      </c>
      <c r="AM69" s="185">
        <f t="shared" si="4"/>
        <v>0.1419</v>
      </c>
      <c r="AN69" s="185">
        <f t="shared" si="5"/>
        <v>0.12468000000000001</v>
      </c>
      <c r="AO69" s="185">
        <f t="shared" si="6"/>
        <v>0.19632000000000002</v>
      </c>
      <c r="AP69" s="185">
        <f t="shared" si="7"/>
        <v>5.5880000000000006E-2</v>
      </c>
      <c r="AQ69" s="185">
        <f t="shared" si="8"/>
        <v>0</v>
      </c>
      <c r="AR69" s="185">
        <f t="shared" si="9"/>
        <v>0</v>
      </c>
      <c r="AS69" s="185">
        <f t="shared" si="10"/>
        <v>0</v>
      </c>
      <c r="AT69" s="185">
        <f t="shared" si="11"/>
        <v>0</v>
      </c>
      <c r="AU69" s="185">
        <f t="shared" si="12"/>
        <v>0</v>
      </c>
      <c r="AV69" s="185">
        <f t="shared" si="13"/>
        <v>0</v>
      </c>
      <c r="AW69" s="185">
        <f t="shared" si="14"/>
        <v>0</v>
      </c>
      <c r="AX69" s="185">
        <f t="shared" si="15"/>
        <v>0</v>
      </c>
      <c r="AY69" s="185">
        <f t="shared" si="16"/>
        <v>0</v>
      </c>
      <c r="AZ69" s="185">
        <f t="shared" si="17"/>
        <v>0</v>
      </c>
      <c r="BA69" s="185">
        <f t="shared" si="18"/>
        <v>0</v>
      </c>
      <c r="BB69" s="185">
        <f t="shared" si="19"/>
        <v>0</v>
      </c>
      <c r="BC69" s="185">
        <f t="shared" si="20"/>
        <v>0</v>
      </c>
      <c r="BD69" s="185">
        <f t="shared" si="21"/>
        <v>0</v>
      </c>
      <c r="BE69" s="185">
        <f t="shared" si="22"/>
        <v>0</v>
      </c>
    </row>
    <row r="70" spans="1:57" s="90" customFormat="1" ht="15" hidden="1" customHeight="1" x14ac:dyDescent="0.25">
      <c r="A70" s="187" t="b">
        <v>1</v>
      </c>
      <c r="B70" s="188" t="b">
        <v>1</v>
      </c>
      <c r="C70" s="179" t="e">
        <f t="shared" si="0"/>
        <v>#N/A</v>
      </c>
      <c r="E70" s="180">
        <v>2041</v>
      </c>
      <c r="F70" s="100">
        <f t="shared" si="24"/>
        <v>83</v>
      </c>
      <c r="G70" s="181">
        <f t="shared" si="1"/>
        <v>-18</v>
      </c>
      <c r="H70" s="181" t="e">
        <f t="shared" si="23"/>
        <v>#N/A</v>
      </c>
      <c r="J70" s="182">
        <v>0.1</v>
      </c>
      <c r="K70" s="101"/>
      <c r="L70" s="183" t="e">
        <f t="shared" si="2"/>
        <v>#N/A</v>
      </c>
      <c r="M70" s="184"/>
      <c r="N70" s="91"/>
      <c r="O70" s="91"/>
      <c r="P70" s="90">
        <v>0</v>
      </c>
      <c r="Q70" s="87">
        <v>1</v>
      </c>
      <c r="R70" s="185">
        <v>0.1419</v>
      </c>
      <c r="S70" s="185">
        <v>0.12468000000000001</v>
      </c>
      <c r="T70" s="185">
        <v>0.19632000000000002</v>
      </c>
      <c r="U70" s="185">
        <v>5.5880000000000006E-2</v>
      </c>
      <c r="V70" s="182">
        <v>0</v>
      </c>
      <c r="W70" s="182">
        <v>0</v>
      </c>
      <c r="X70" s="182">
        <v>0</v>
      </c>
      <c r="Y70" s="182">
        <v>0</v>
      </c>
      <c r="Z70" s="182">
        <v>0</v>
      </c>
      <c r="AA70" s="182">
        <v>0</v>
      </c>
      <c r="AB70" s="182">
        <v>0</v>
      </c>
      <c r="AC70" s="182">
        <v>0</v>
      </c>
      <c r="AD70" s="182">
        <v>0</v>
      </c>
      <c r="AE70" s="182">
        <v>0</v>
      </c>
      <c r="AF70" s="182">
        <v>0</v>
      </c>
      <c r="AG70" s="182">
        <v>0</v>
      </c>
      <c r="AH70" s="182">
        <v>0</v>
      </c>
      <c r="AI70" s="182">
        <v>0</v>
      </c>
      <c r="AJ70" s="182">
        <v>0</v>
      </c>
      <c r="AL70" s="185">
        <f t="shared" si="3"/>
        <v>1</v>
      </c>
      <c r="AM70" s="185">
        <f t="shared" si="4"/>
        <v>0.1419</v>
      </c>
      <c r="AN70" s="185">
        <f t="shared" si="5"/>
        <v>0.12468000000000001</v>
      </c>
      <c r="AO70" s="185">
        <f t="shared" si="6"/>
        <v>0.19632000000000002</v>
      </c>
      <c r="AP70" s="185">
        <f t="shared" si="7"/>
        <v>5.5880000000000006E-2</v>
      </c>
      <c r="AQ70" s="185">
        <f t="shared" si="8"/>
        <v>0</v>
      </c>
      <c r="AR70" s="185">
        <f t="shared" si="9"/>
        <v>0</v>
      </c>
      <c r="AS70" s="185">
        <f t="shared" si="10"/>
        <v>0</v>
      </c>
      <c r="AT70" s="185">
        <f t="shared" si="11"/>
        <v>0</v>
      </c>
      <c r="AU70" s="185">
        <f t="shared" si="12"/>
        <v>0</v>
      </c>
      <c r="AV70" s="185">
        <f t="shared" si="13"/>
        <v>0</v>
      </c>
      <c r="AW70" s="185">
        <f t="shared" si="14"/>
        <v>0</v>
      </c>
      <c r="AX70" s="185">
        <f t="shared" si="15"/>
        <v>0</v>
      </c>
      <c r="AY70" s="185">
        <f t="shared" si="16"/>
        <v>0</v>
      </c>
      <c r="AZ70" s="185">
        <f t="shared" si="17"/>
        <v>0</v>
      </c>
      <c r="BA70" s="185">
        <f t="shared" si="18"/>
        <v>0</v>
      </c>
      <c r="BB70" s="185">
        <f t="shared" si="19"/>
        <v>0</v>
      </c>
      <c r="BC70" s="185">
        <f t="shared" si="20"/>
        <v>0</v>
      </c>
      <c r="BD70" s="185">
        <f t="shared" si="21"/>
        <v>0</v>
      </c>
      <c r="BE70" s="185">
        <f t="shared" si="22"/>
        <v>0</v>
      </c>
    </row>
    <row r="71" spans="1:57" s="90" customFormat="1" ht="15" hidden="1" customHeight="1" x14ac:dyDescent="0.25">
      <c r="A71" s="187" t="b">
        <v>1</v>
      </c>
      <c r="B71" s="188" t="b">
        <v>1</v>
      </c>
      <c r="C71" s="179" t="e">
        <f t="shared" si="0"/>
        <v>#N/A</v>
      </c>
      <c r="E71" s="180">
        <v>2042</v>
      </c>
      <c r="F71" s="100">
        <f t="shared" si="24"/>
        <v>84</v>
      </c>
      <c r="G71" s="181">
        <f t="shared" si="1"/>
        <v>-19</v>
      </c>
      <c r="H71" s="181" t="e">
        <f t="shared" si="23"/>
        <v>#N/A</v>
      </c>
      <c r="J71" s="182">
        <v>0.1</v>
      </c>
      <c r="K71" s="101"/>
      <c r="L71" s="183" t="e">
        <f t="shared" si="2"/>
        <v>#N/A</v>
      </c>
      <c r="M71" s="184"/>
      <c r="N71" s="91"/>
      <c r="O71" s="91"/>
      <c r="P71" s="90">
        <v>0</v>
      </c>
      <c r="Q71" s="87">
        <v>1</v>
      </c>
      <c r="R71" s="185">
        <v>0.1419</v>
      </c>
      <c r="S71" s="185">
        <v>0.12468000000000001</v>
      </c>
      <c r="T71" s="185">
        <v>0.19632000000000002</v>
      </c>
      <c r="U71" s="185">
        <v>5.5880000000000006E-2</v>
      </c>
      <c r="V71" s="182">
        <v>0</v>
      </c>
      <c r="W71" s="182">
        <v>0</v>
      </c>
      <c r="X71" s="182">
        <v>0</v>
      </c>
      <c r="Y71" s="182">
        <v>0</v>
      </c>
      <c r="Z71" s="182">
        <v>0</v>
      </c>
      <c r="AA71" s="182">
        <v>0</v>
      </c>
      <c r="AB71" s="182">
        <v>0</v>
      </c>
      <c r="AC71" s="182">
        <v>0</v>
      </c>
      <c r="AD71" s="182">
        <v>0</v>
      </c>
      <c r="AE71" s="182">
        <v>0</v>
      </c>
      <c r="AF71" s="182">
        <v>0</v>
      </c>
      <c r="AG71" s="182">
        <v>0</v>
      </c>
      <c r="AH71" s="182">
        <v>0</v>
      </c>
      <c r="AI71" s="182">
        <v>0</v>
      </c>
      <c r="AJ71" s="182">
        <v>0</v>
      </c>
      <c r="AL71" s="185">
        <f t="shared" si="3"/>
        <v>1</v>
      </c>
      <c r="AM71" s="185">
        <f t="shared" si="4"/>
        <v>0.1419</v>
      </c>
      <c r="AN71" s="185">
        <f t="shared" si="5"/>
        <v>0.12468000000000001</v>
      </c>
      <c r="AO71" s="185">
        <f t="shared" si="6"/>
        <v>0.19632000000000002</v>
      </c>
      <c r="AP71" s="185">
        <f t="shared" si="7"/>
        <v>5.5880000000000006E-2</v>
      </c>
      <c r="AQ71" s="185">
        <f t="shared" si="8"/>
        <v>0</v>
      </c>
      <c r="AR71" s="185">
        <f t="shared" si="9"/>
        <v>0</v>
      </c>
      <c r="AS71" s="185">
        <f t="shared" si="10"/>
        <v>0</v>
      </c>
      <c r="AT71" s="185">
        <f t="shared" si="11"/>
        <v>0</v>
      </c>
      <c r="AU71" s="185">
        <f t="shared" si="12"/>
        <v>0</v>
      </c>
      <c r="AV71" s="185">
        <f t="shared" si="13"/>
        <v>0</v>
      </c>
      <c r="AW71" s="185">
        <f t="shared" si="14"/>
        <v>0</v>
      </c>
      <c r="AX71" s="185">
        <f t="shared" si="15"/>
        <v>0</v>
      </c>
      <c r="AY71" s="185">
        <f t="shared" si="16"/>
        <v>0</v>
      </c>
      <c r="AZ71" s="185">
        <f t="shared" si="17"/>
        <v>0</v>
      </c>
      <c r="BA71" s="185">
        <f t="shared" si="18"/>
        <v>0</v>
      </c>
      <c r="BB71" s="185">
        <f t="shared" si="19"/>
        <v>0</v>
      </c>
      <c r="BC71" s="185">
        <f t="shared" si="20"/>
        <v>0</v>
      </c>
      <c r="BD71" s="185">
        <f t="shared" si="21"/>
        <v>0</v>
      </c>
      <c r="BE71" s="185">
        <f t="shared" si="22"/>
        <v>0</v>
      </c>
    </row>
    <row r="72" spans="1:57" s="90" customFormat="1" ht="15" hidden="1" customHeight="1" x14ac:dyDescent="0.25">
      <c r="A72" s="187" t="b">
        <v>1</v>
      </c>
      <c r="B72" s="188" t="b">
        <v>1</v>
      </c>
      <c r="C72" s="179" t="e">
        <f t="shared" si="0"/>
        <v>#N/A</v>
      </c>
      <c r="E72" s="180">
        <v>2043</v>
      </c>
      <c r="F72" s="100">
        <f t="shared" si="24"/>
        <v>85</v>
      </c>
      <c r="G72" s="181">
        <f t="shared" si="1"/>
        <v>-20</v>
      </c>
      <c r="H72" s="181" t="e">
        <f t="shared" si="23"/>
        <v>#N/A</v>
      </c>
      <c r="J72" s="182">
        <v>0.1</v>
      </c>
      <c r="K72" s="101"/>
      <c r="L72" s="183" t="e">
        <f t="shared" si="2"/>
        <v>#N/A</v>
      </c>
      <c r="M72" s="184"/>
      <c r="N72" s="91"/>
      <c r="O72" s="91"/>
      <c r="P72" s="90">
        <v>0</v>
      </c>
      <c r="Q72" s="87">
        <v>1</v>
      </c>
      <c r="R72" s="185">
        <v>0.1419</v>
      </c>
      <c r="S72" s="185">
        <v>0.13468000000000002</v>
      </c>
      <c r="T72" s="185">
        <v>0.19632000000000002</v>
      </c>
      <c r="U72" s="185">
        <v>6.5879999999999994E-2</v>
      </c>
      <c r="V72" s="182">
        <v>0</v>
      </c>
      <c r="W72" s="182">
        <v>0</v>
      </c>
      <c r="X72" s="182">
        <v>0</v>
      </c>
      <c r="Y72" s="182">
        <v>0</v>
      </c>
      <c r="Z72" s="182">
        <v>0</v>
      </c>
      <c r="AA72" s="182">
        <v>0</v>
      </c>
      <c r="AB72" s="182">
        <v>0</v>
      </c>
      <c r="AC72" s="182">
        <v>0</v>
      </c>
      <c r="AD72" s="182">
        <v>0</v>
      </c>
      <c r="AE72" s="182">
        <v>0</v>
      </c>
      <c r="AF72" s="182">
        <v>0</v>
      </c>
      <c r="AG72" s="182">
        <v>0</v>
      </c>
      <c r="AH72" s="182">
        <v>0</v>
      </c>
      <c r="AI72" s="182">
        <v>0</v>
      </c>
      <c r="AJ72" s="182">
        <v>0</v>
      </c>
      <c r="AL72" s="185">
        <f t="shared" si="3"/>
        <v>1</v>
      </c>
      <c r="AM72" s="185">
        <f t="shared" si="4"/>
        <v>0.1419</v>
      </c>
      <c r="AN72" s="185">
        <f t="shared" si="5"/>
        <v>0.13468000000000002</v>
      </c>
      <c r="AO72" s="185">
        <f t="shared" si="6"/>
        <v>0.19632000000000002</v>
      </c>
      <c r="AP72" s="185">
        <f t="shared" si="7"/>
        <v>6.5879999999999994E-2</v>
      </c>
      <c r="AQ72" s="185">
        <f t="shared" si="8"/>
        <v>0</v>
      </c>
      <c r="AR72" s="185">
        <f t="shared" si="9"/>
        <v>0</v>
      </c>
      <c r="AS72" s="185">
        <f t="shared" si="10"/>
        <v>0</v>
      </c>
      <c r="AT72" s="185">
        <f t="shared" si="11"/>
        <v>0</v>
      </c>
      <c r="AU72" s="185">
        <f t="shared" si="12"/>
        <v>0</v>
      </c>
      <c r="AV72" s="185">
        <f t="shared" si="13"/>
        <v>0</v>
      </c>
      <c r="AW72" s="185">
        <f t="shared" si="14"/>
        <v>0</v>
      </c>
      <c r="AX72" s="185">
        <f t="shared" si="15"/>
        <v>0</v>
      </c>
      <c r="AY72" s="185">
        <f t="shared" si="16"/>
        <v>0</v>
      </c>
      <c r="AZ72" s="185">
        <f t="shared" si="17"/>
        <v>0</v>
      </c>
      <c r="BA72" s="185">
        <f t="shared" si="18"/>
        <v>0</v>
      </c>
      <c r="BB72" s="185">
        <f t="shared" si="19"/>
        <v>0</v>
      </c>
      <c r="BC72" s="185">
        <f t="shared" si="20"/>
        <v>0</v>
      </c>
      <c r="BD72" s="185">
        <f t="shared" si="21"/>
        <v>0</v>
      </c>
      <c r="BE72" s="185">
        <f t="shared" si="22"/>
        <v>0</v>
      </c>
    </row>
    <row r="73" spans="1:57" s="90" customFormat="1" ht="15" hidden="1" customHeight="1" x14ac:dyDescent="0.25">
      <c r="A73" s="187" t="b">
        <v>1</v>
      </c>
      <c r="B73" s="188" t="b">
        <v>1</v>
      </c>
      <c r="C73" s="179" t="e">
        <f t="shared" si="0"/>
        <v>#N/A</v>
      </c>
      <c r="E73" s="180">
        <v>2044</v>
      </c>
      <c r="F73" s="100">
        <f t="shared" si="24"/>
        <v>86</v>
      </c>
      <c r="G73" s="181">
        <f t="shared" si="1"/>
        <v>-21</v>
      </c>
      <c r="H73" s="181" t="e">
        <f t="shared" si="23"/>
        <v>#N/A</v>
      </c>
      <c r="J73" s="182">
        <v>0.1</v>
      </c>
      <c r="K73" s="101"/>
      <c r="L73" s="183" t="e">
        <f t="shared" si="2"/>
        <v>#N/A</v>
      </c>
      <c r="M73" s="184"/>
      <c r="N73" s="91"/>
      <c r="O73" s="91"/>
      <c r="P73" s="90">
        <v>0</v>
      </c>
      <c r="Q73" s="87">
        <v>1</v>
      </c>
      <c r="R73" s="185">
        <v>0.1236</v>
      </c>
      <c r="S73" s="185">
        <v>0.18392</v>
      </c>
      <c r="T73" s="185">
        <v>0.19008</v>
      </c>
      <c r="U73" s="185">
        <v>8.6720000000000005E-2</v>
      </c>
      <c r="V73" s="182">
        <v>0</v>
      </c>
      <c r="W73" s="182">
        <v>0</v>
      </c>
      <c r="X73" s="182">
        <v>0</v>
      </c>
      <c r="Y73" s="182">
        <v>0</v>
      </c>
      <c r="Z73" s="182">
        <v>0</v>
      </c>
      <c r="AA73" s="182">
        <v>0</v>
      </c>
      <c r="AB73" s="182">
        <v>0</v>
      </c>
      <c r="AC73" s="182">
        <v>0</v>
      </c>
      <c r="AD73" s="182">
        <v>0</v>
      </c>
      <c r="AE73" s="182">
        <v>0</v>
      </c>
      <c r="AF73" s="182">
        <v>0</v>
      </c>
      <c r="AG73" s="182">
        <v>0</v>
      </c>
      <c r="AH73" s="182">
        <v>0</v>
      </c>
      <c r="AI73" s="182">
        <v>0</v>
      </c>
      <c r="AJ73" s="182">
        <v>0</v>
      </c>
      <c r="AL73" s="185">
        <f t="shared" si="3"/>
        <v>1</v>
      </c>
      <c r="AM73" s="185">
        <f t="shared" si="4"/>
        <v>0.1236</v>
      </c>
      <c r="AN73" s="185">
        <f t="shared" si="5"/>
        <v>0.18392</v>
      </c>
      <c r="AO73" s="185">
        <f t="shared" si="6"/>
        <v>0.19008</v>
      </c>
      <c r="AP73" s="185">
        <f t="shared" si="7"/>
        <v>8.6720000000000005E-2</v>
      </c>
      <c r="AQ73" s="185">
        <f t="shared" si="8"/>
        <v>0</v>
      </c>
      <c r="AR73" s="185">
        <f t="shared" si="9"/>
        <v>0</v>
      </c>
      <c r="AS73" s="185">
        <f t="shared" si="10"/>
        <v>0</v>
      </c>
      <c r="AT73" s="185">
        <f t="shared" si="11"/>
        <v>0</v>
      </c>
      <c r="AU73" s="185">
        <f t="shared" si="12"/>
        <v>0</v>
      </c>
      <c r="AV73" s="185">
        <f t="shared" si="13"/>
        <v>0</v>
      </c>
      <c r="AW73" s="185">
        <f t="shared" si="14"/>
        <v>0</v>
      </c>
      <c r="AX73" s="185">
        <f t="shared" si="15"/>
        <v>0</v>
      </c>
      <c r="AY73" s="185">
        <f t="shared" si="16"/>
        <v>0</v>
      </c>
      <c r="AZ73" s="185">
        <f t="shared" si="17"/>
        <v>0</v>
      </c>
      <c r="BA73" s="185">
        <f t="shared" si="18"/>
        <v>0</v>
      </c>
      <c r="BB73" s="185">
        <f t="shared" si="19"/>
        <v>0</v>
      </c>
      <c r="BC73" s="185">
        <f t="shared" si="20"/>
        <v>0</v>
      </c>
      <c r="BD73" s="185">
        <f t="shared" si="21"/>
        <v>0</v>
      </c>
      <c r="BE73" s="185">
        <f t="shared" si="22"/>
        <v>0</v>
      </c>
    </row>
    <row r="74" spans="1:57" s="90" customFormat="1" ht="15" hidden="1" customHeight="1" x14ac:dyDescent="0.25">
      <c r="A74" s="187" t="b">
        <v>1</v>
      </c>
      <c r="B74" s="188" t="b">
        <v>1</v>
      </c>
      <c r="C74" s="179" t="e">
        <f t="shared" si="0"/>
        <v>#N/A</v>
      </c>
      <c r="E74" s="180">
        <v>2045</v>
      </c>
      <c r="F74" s="100">
        <f t="shared" si="24"/>
        <v>87</v>
      </c>
      <c r="G74" s="181">
        <f t="shared" si="1"/>
        <v>-22</v>
      </c>
      <c r="H74" s="181" t="e">
        <f t="shared" si="23"/>
        <v>#N/A</v>
      </c>
      <c r="J74" s="182">
        <v>0.1</v>
      </c>
      <c r="K74" s="101"/>
      <c r="L74" s="183" t="e">
        <f t="shared" si="2"/>
        <v>#N/A</v>
      </c>
      <c r="M74" s="184"/>
      <c r="N74" s="91"/>
      <c r="O74" s="91"/>
      <c r="P74" s="90">
        <v>0</v>
      </c>
      <c r="Q74" s="87">
        <v>1</v>
      </c>
      <c r="R74" s="185">
        <v>0.11615</v>
      </c>
      <c r="S74" s="185">
        <v>0.23777999999999999</v>
      </c>
      <c r="T74" s="185">
        <v>0.16572000000000001</v>
      </c>
      <c r="U74" s="185">
        <v>0.10798000000000001</v>
      </c>
      <c r="V74" s="182">
        <v>0</v>
      </c>
      <c r="W74" s="182">
        <v>0</v>
      </c>
      <c r="X74" s="182">
        <v>0</v>
      </c>
      <c r="Y74" s="182">
        <v>0</v>
      </c>
      <c r="Z74" s="182">
        <v>0</v>
      </c>
      <c r="AA74" s="182">
        <v>0</v>
      </c>
      <c r="AB74" s="182">
        <v>0</v>
      </c>
      <c r="AC74" s="182">
        <v>0</v>
      </c>
      <c r="AD74" s="182">
        <v>0</v>
      </c>
      <c r="AE74" s="182">
        <v>0</v>
      </c>
      <c r="AF74" s="182">
        <v>0</v>
      </c>
      <c r="AG74" s="182">
        <v>0</v>
      </c>
      <c r="AH74" s="182">
        <v>0</v>
      </c>
      <c r="AI74" s="182">
        <v>0</v>
      </c>
      <c r="AJ74" s="182">
        <v>0</v>
      </c>
      <c r="AL74" s="185">
        <f t="shared" si="3"/>
        <v>1</v>
      </c>
      <c r="AM74" s="185">
        <f t="shared" si="4"/>
        <v>0.11615</v>
      </c>
      <c r="AN74" s="185">
        <f t="shared" si="5"/>
        <v>0.23777999999999999</v>
      </c>
      <c r="AO74" s="185">
        <f t="shared" si="6"/>
        <v>0.16572000000000001</v>
      </c>
      <c r="AP74" s="185">
        <f t="shared" si="7"/>
        <v>0.10798000000000001</v>
      </c>
      <c r="AQ74" s="185">
        <f t="shared" si="8"/>
        <v>0</v>
      </c>
      <c r="AR74" s="185">
        <f t="shared" si="9"/>
        <v>0</v>
      </c>
      <c r="AS74" s="185">
        <f t="shared" si="10"/>
        <v>0</v>
      </c>
      <c r="AT74" s="185">
        <f t="shared" si="11"/>
        <v>0</v>
      </c>
      <c r="AU74" s="185">
        <f t="shared" si="12"/>
        <v>0</v>
      </c>
      <c r="AV74" s="185">
        <f t="shared" si="13"/>
        <v>0</v>
      </c>
      <c r="AW74" s="185">
        <f t="shared" si="14"/>
        <v>0</v>
      </c>
      <c r="AX74" s="185">
        <f t="shared" si="15"/>
        <v>0</v>
      </c>
      <c r="AY74" s="185">
        <f t="shared" si="16"/>
        <v>0</v>
      </c>
      <c r="AZ74" s="185">
        <f t="shared" si="17"/>
        <v>0</v>
      </c>
      <c r="BA74" s="185">
        <f t="shared" si="18"/>
        <v>0</v>
      </c>
      <c r="BB74" s="185">
        <f t="shared" si="19"/>
        <v>0</v>
      </c>
      <c r="BC74" s="185">
        <f t="shared" si="20"/>
        <v>0</v>
      </c>
      <c r="BD74" s="185">
        <f t="shared" si="21"/>
        <v>0</v>
      </c>
      <c r="BE74" s="185">
        <f t="shared" si="22"/>
        <v>0</v>
      </c>
    </row>
    <row r="75" spans="1:57" s="90" customFormat="1" ht="15" hidden="1" customHeight="1" x14ac:dyDescent="0.25">
      <c r="A75" s="187" t="b">
        <v>1</v>
      </c>
      <c r="B75" s="188" t="b">
        <v>1</v>
      </c>
      <c r="C75" s="179" t="e">
        <f t="shared" si="0"/>
        <v>#N/A</v>
      </c>
      <c r="E75" s="180">
        <v>2046</v>
      </c>
      <c r="F75" s="100">
        <f t="shared" si="24"/>
        <v>88</v>
      </c>
      <c r="G75" s="181">
        <f t="shared" si="1"/>
        <v>-23</v>
      </c>
      <c r="H75" s="181" t="e">
        <f t="shared" si="23"/>
        <v>#N/A</v>
      </c>
      <c r="J75" s="182">
        <v>0.1</v>
      </c>
      <c r="K75" s="101"/>
      <c r="L75" s="183" t="e">
        <f t="shared" si="2"/>
        <v>#N/A</v>
      </c>
      <c r="M75" s="184"/>
      <c r="N75" s="91"/>
      <c r="O75" s="91"/>
      <c r="P75" s="90">
        <v>0</v>
      </c>
      <c r="Q75" s="87">
        <v>1</v>
      </c>
      <c r="R75" s="185">
        <v>9.870000000000001E-2</v>
      </c>
      <c r="S75" s="185">
        <v>0.27163999999999999</v>
      </c>
      <c r="T75" s="185">
        <v>0.15135999999999999</v>
      </c>
      <c r="U75" s="185">
        <v>0.13924</v>
      </c>
      <c r="V75" s="182">
        <v>0</v>
      </c>
      <c r="W75" s="182">
        <v>0</v>
      </c>
      <c r="X75" s="182">
        <v>0</v>
      </c>
      <c r="Y75" s="182">
        <v>0</v>
      </c>
      <c r="Z75" s="182">
        <v>0</v>
      </c>
      <c r="AA75" s="182">
        <v>0</v>
      </c>
      <c r="AB75" s="182">
        <v>0</v>
      </c>
      <c r="AC75" s="182">
        <v>0</v>
      </c>
      <c r="AD75" s="182">
        <v>0</v>
      </c>
      <c r="AE75" s="182">
        <v>0</v>
      </c>
      <c r="AF75" s="182">
        <v>0</v>
      </c>
      <c r="AG75" s="182">
        <v>0</v>
      </c>
      <c r="AH75" s="182">
        <v>0</v>
      </c>
      <c r="AI75" s="182">
        <v>0</v>
      </c>
      <c r="AJ75" s="182">
        <v>0</v>
      </c>
      <c r="AL75" s="185">
        <f t="shared" si="3"/>
        <v>1</v>
      </c>
      <c r="AM75" s="185">
        <f t="shared" si="4"/>
        <v>9.870000000000001E-2</v>
      </c>
      <c r="AN75" s="185">
        <f t="shared" si="5"/>
        <v>0.27163999999999999</v>
      </c>
      <c r="AO75" s="185">
        <f t="shared" si="6"/>
        <v>0.15135999999999999</v>
      </c>
      <c r="AP75" s="185">
        <f t="shared" si="7"/>
        <v>0.13924</v>
      </c>
      <c r="AQ75" s="185">
        <f t="shared" si="8"/>
        <v>0</v>
      </c>
      <c r="AR75" s="185">
        <f t="shared" si="9"/>
        <v>0</v>
      </c>
      <c r="AS75" s="185">
        <f t="shared" si="10"/>
        <v>0</v>
      </c>
      <c r="AT75" s="185">
        <f t="shared" si="11"/>
        <v>0</v>
      </c>
      <c r="AU75" s="185">
        <f t="shared" si="12"/>
        <v>0</v>
      </c>
      <c r="AV75" s="185">
        <f t="shared" si="13"/>
        <v>0</v>
      </c>
      <c r="AW75" s="185">
        <f t="shared" si="14"/>
        <v>0</v>
      </c>
      <c r="AX75" s="185">
        <f t="shared" si="15"/>
        <v>0</v>
      </c>
      <c r="AY75" s="185">
        <f t="shared" si="16"/>
        <v>0</v>
      </c>
      <c r="AZ75" s="185">
        <f t="shared" si="17"/>
        <v>0</v>
      </c>
      <c r="BA75" s="185">
        <f t="shared" si="18"/>
        <v>0</v>
      </c>
      <c r="BB75" s="185">
        <f t="shared" si="19"/>
        <v>0</v>
      </c>
      <c r="BC75" s="185">
        <f t="shared" si="20"/>
        <v>0</v>
      </c>
      <c r="BD75" s="185">
        <f t="shared" si="21"/>
        <v>0</v>
      </c>
      <c r="BE75" s="185">
        <f t="shared" si="22"/>
        <v>0</v>
      </c>
    </row>
    <row r="76" spans="1:57" s="90" customFormat="1" ht="15" hidden="1" customHeight="1" x14ac:dyDescent="0.25">
      <c r="A76" s="187" t="b">
        <v>1</v>
      </c>
      <c r="B76" s="188" t="b">
        <v>1</v>
      </c>
      <c r="C76" s="179" t="e">
        <f t="shared" si="0"/>
        <v>#N/A</v>
      </c>
      <c r="E76" s="180">
        <v>2047</v>
      </c>
      <c r="F76" s="100">
        <f t="shared" si="24"/>
        <v>89</v>
      </c>
      <c r="G76" s="181">
        <f t="shared" si="1"/>
        <v>-24</v>
      </c>
      <c r="H76" s="181" t="e">
        <f t="shared" si="23"/>
        <v>#N/A</v>
      </c>
      <c r="J76" s="182">
        <v>0.1</v>
      </c>
      <c r="K76" s="101"/>
      <c r="L76" s="183" t="e">
        <f t="shared" si="2"/>
        <v>#N/A</v>
      </c>
      <c r="M76" s="184"/>
      <c r="N76" s="91"/>
      <c r="O76" s="91"/>
      <c r="P76" s="90">
        <v>0</v>
      </c>
      <c r="Q76" s="87">
        <v>1</v>
      </c>
      <c r="R76" s="185">
        <v>9.0400000000000008E-2</v>
      </c>
      <c r="S76" s="185">
        <v>0.31088000000000005</v>
      </c>
      <c r="T76" s="185">
        <v>0.14512</v>
      </c>
      <c r="U76" s="185">
        <v>0.15008000000000002</v>
      </c>
      <c r="V76" s="182">
        <v>0</v>
      </c>
      <c r="W76" s="182">
        <v>0</v>
      </c>
      <c r="X76" s="182">
        <v>0</v>
      </c>
      <c r="Y76" s="182">
        <v>0</v>
      </c>
      <c r="Z76" s="182">
        <v>0</v>
      </c>
      <c r="AA76" s="182">
        <v>0</v>
      </c>
      <c r="AB76" s="182">
        <v>0</v>
      </c>
      <c r="AC76" s="182">
        <v>0</v>
      </c>
      <c r="AD76" s="182">
        <v>0</v>
      </c>
      <c r="AE76" s="182">
        <v>0</v>
      </c>
      <c r="AF76" s="182">
        <v>0</v>
      </c>
      <c r="AG76" s="182">
        <v>0</v>
      </c>
      <c r="AH76" s="182">
        <v>0</v>
      </c>
      <c r="AI76" s="182">
        <v>0</v>
      </c>
      <c r="AJ76" s="182">
        <v>0</v>
      </c>
      <c r="AL76" s="185">
        <f t="shared" si="3"/>
        <v>1</v>
      </c>
      <c r="AM76" s="185">
        <f t="shared" si="4"/>
        <v>9.0400000000000008E-2</v>
      </c>
      <c r="AN76" s="185">
        <f t="shared" si="5"/>
        <v>0.31088000000000005</v>
      </c>
      <c r="AO76" s="185">
        <f t="shared" si="6"/>
        <v>0.14512</v>
      </c>
      <c r="AP76" s="185">
        <f t="shared" si="7"/>
        <v>0.15008000000000002</v>
      </c>
      <c r="AQ76" s="185">
        <f t="shared" si="8"/>
        <v>0</v>
      </c>
      <c r="AR76" s="185">
        <f t="shared" si="9"/>
        <v>0</v>
      </c>
      <c r="AS76" s="185">
        <f t="shared" si="10"/>
        <v>0</v>
      </c>
      <c r="AT76" s="185">
        <f t="shared" si="11"/>
        <v>0</v>
      </c>
      <c r="AU76" s="185">
        <f t="shared" si="12"/>
        <v>0</v>
      </c>
      <c r="AV76" s="185">
        <f t="shared" si="13"/>
        <v>0</v>
      </c>
      <c r="AW76" s="185">
        <f t="shared" si="14"/>
        <v>0</v>
      </c>
      <c r="AX76" s="185">
        <f t="shared" si="15"/>
        <v>0</v>
      </c>
      <c r="AY76" s="185">
        <f t="shared" si="16"/>
        <v>0</v>
      </c>
      <c r="AZ76" s="185">
        <f t="shared" si="17"/>
        <v>0</v>
      </c>
      <c r="BA76" s="185">
        <f t="shared" si="18"/>
        <v>0</v>
      </c>
      <c r="BB76" s="185">
        <f t="shared" si="19"/>
        <v>0</v>
      </c>
      <c r="BC76" s="185">
        <f t="shared" si="20"/>
        <v>0</v>
      </c>
      <c r="BD76" s="185">
        <f t="shared" si="21"/>
        <v>0</v>
      </c>
      <c r="BE76" s="185">
        <f t="shared" si="22"/>
        <v>0</v>
      </c>
    </row>
    <row r="77" spans="1:57" s="90" customFormat="1" ht="15" hidden="1" customHeight="1" x14ac:dyDescent="0.25">
      <c r="A77" s="187" t="b">
        <v>1</v>
      </c>
      <c r="B77" s="188" t="b">
        <v>1</v>
      </c>
      <c r="C77" s="179" t="e">
        <f t="shared" si="0"/>
        <v>#N/A</v>
      </c>
      <c r="E77" s="180">
        <v>2048</v>
      </c>
      <c r="F77" s="100">
        <f t="shared" si="24"/>
        <v>90</v>
      </c>
      <c r="G77" s="181">
        <f t="shared" si="1"/>
        <v>-25</v>
      </c>
      <c r="H77" s="181" t="e">
        <f t="shared" si="23"/>
        <v>#N/A</v>
      </c>
      <c r="J77" s="182">
        <v>0.1</v>
      </c>
      <c r="K77" s="101"/>
      <c r="L77" s="183" t="e">
        <f t="shared" si="2"/>
        <v>#N/A</v>
      </c>
      <c r="M77" s="184"/>
      <c r="N77" s="91"/>
      <c r="O77" s="91"/>
      <c r="P77" s="90">
        <v>0</v>
      </c>
      <c r="Q77" s="87">
        <v>1</v>
      </c>
      <c r="R77" s="185">
        <v>8.2949999999999996E-2</v>
      </c>
      <c r="S77" s="185">
        <v>0.35474000000000006</v>
      </c>
      <c r="T77" s="185">
        <v>0.13076000000000002</v>
      </c>
      <c r="U77" s="185">
        <v>0.17133999999999999</v>
      </c>
      <c r="V77" s="182">
        <v>0</v>
      </c>
      <c r="W77" s="182">
        <v>0</v>
      </c>
      <c r="X77" s="182">
        <v>0</v>
      </c>
      <c r="Y77" s="182">
        <v>0</v>
      </c>
      <c r="Z77" s="182">
        <v>0</v>
      </c>
      <c r="AA77" s="182">
        <v>0</v>
      </c>
      <c r="AB77" s="182">
        <v>0</v>
      </c>
      <c r="AC77" s="182">
        <v>0</v>
      </c>
      <c r="AD77" s="182">
        <v>0</v>
      </c>
      <c r="AE77" s="182">
        <v>0</v>
      </c>
      <c r="AF77" s="182">
        <v>0</v>
      </c>
      <c r="AG77" s="182">
        <v>0</v>
      </c>
      <c r="AH77" s="182">
        <v>0</v>
      </c>
      <c r="AI77" s="182">
        <v>0</v>
      </c>
      <c r="AJ77" s="182">
        <v>0</v>
      </c>
      <c r="AL77" s="185">
        <f t="shared" si="3"/>
        <v>1</v>
      </c>
      <c r="AM77" s="185">
        <f t="shared" si="4"/>
        <v>8.2949999999999996E-2</v>
      </c>
      <c r="AN77" s="185">
        <f t="shared" si="5"/>
        <v>0.35474000000000006</v>
      </c>
      <c r="AO77" s="185">
        <f t="shared" si="6"/>
        <v>0.13076000000000002</v>
      </c>
      <c r="AP77" s="185">
        <f t="shared" si="7"/>
        <v>0.17133999999999999</v>
      </c>
      <c r="AQ77" s="185">
        <f t="shared" si="8"/>
        <v>0</v>
      </c>
      <c r="AR77" s="185">
        <f t="shared" si="9"/>
        <v>0</v>
      </c>
      <c r="AS77" s="185">
        <f t="shared" si="10"/>
        <v>0</v>
      </c>
      <c r="AT77" s="185">
        <f t="shared" si="11"/>
        <v>0</v>
      </c>
      <c r="AU77" s="185">
        <f t="shared" si="12"/>
        <v>0</v>
      </c>
      <c r="AV77" s="185">
        <f t="shared" si="13"/>
        <v>0</v>
      </c>
      <c r="AW77" s="185">
        <f t="shared" si="14"/>
        <v>0</v>
      </c>
      <c r="AX77" s="185">
        <f t="shared" si="15"/>
        <v>0</v>
      </c>
      <c r="AY77" s="185">
        <f t="shared" si="16"/>
        <v>0</v>
      </c>
      <c r="AZ77" s="185">
        <f t="shared" si="17"/>
        <v>0</v>
      </c>
      <c r="BA77" s="185">
        <f t="shared" si="18"/>
        <v>0</v>
      </c>
      <c r="BB77" s="185">
        <f t="shared" si="19"/>
        <v>0</v>
      </c>
      <c r="BC77" s="185">
        <f t="shared" si="20"/>
        <v>0</v>
      </c>
      <c r="BD77" s="185">
        <f t="shared" si="21"/>
        <v>0</v>
      </c>
      <c r="BE77" s="185">
        <f t="shared" si="22"/>
        <v>0</v>
      </c>
    </row>
    <row r="78" spans="1:57" s="90" customFormat="1" ht="15" hidden="1" customHeight="1" x14ac:dyDescent="0.25">
      <c r="A78" s="187" t="b">
        <v>1</v>
      </c>
      <c r="B78" s="188" t="b">
        <v>1</v>
      </c>
      <c r="C78" s="179" t="e">
        <f t="shared" si="0"/>
        <v>#N/A</v>
      </c>
      <c r="E78" s="180">
        <v>2049</v>
      </c>
      <c r="F78" s="100">
        <f t="shared" si="24"/>
        <v>91</v>
      </c>
      <c r="G78" s="181">
        <f t="shared" si="1"/>
        <v>-26</v>
      </c>
      <c r="H78" s="181" t="e">
        <f t="shared" si="23"/>
        <v>#N/A</v>
      </c>
      <c r="J78" s="182">
        <v>0.1</v>
      </c>
      <c r="K78" s="101"/>
      <c r="L78" s="183" t="e">
        <f t="shared" si="2"/>
        <v>#N/A</v>
      </c>
      <c r="M78" s="184"/>
      <c r="N78" s="91"/>
      <c r="O78" s="91"/>
      <c r="P78" s="90">
        <v>0</v>
      </c>
      <c r="Q78" s="87">
        <v>1</v>
      </c>
      <c r="R78" s="185">
        <v>7.4650000000000008E-2</v>
      </c>
      <c r="S78" s="185">
        <v>0.39398</v>
      </c>
      <c r="T78" s="185">
        <v>0.12452000000000001</v>
      </c>
      <c r="U78" s="185">
        <v>0.19217999999999999</v>
      </c>
      <c r="V78" s="182">
        <v>0</v>
      </c>
      <c r="W78" s="182">
        <v>0</v>
      </c>
      <c r="X78" s="182">
        <v>0</v>
      </c>
      <c r="Y78" s="182">
        <v>0</v>
      </c>
      <c r="Z78" s="182">
        <v>0</v>
      </c>
      <c r="AA78" s="182">
        <v>0</v>
      </c>
      <c r="AB78" s="182">
        <v>0</v>
      </c>
      <c r="AC78" s="182">
        <v>0</v>
      </c>
      <c r="AD78" s="182">
        <v>0</v>
      </c>
      <c r="AE78" s="182">
        <v>0</v>
      </c>
      <c r="AF78" s="182">
        <v>0</v>
      </c>
      <c r="AG78" s="182">
        <v>0</v>
      </c>
      <c r="AH78" s="182">
        <v>0</v>
      </c>
      <c r="AI78" s="182">
        <v>0</v>
      </c>
      <c r="AJ78" s="182">
        <v>0</v>
      </c>
      <c r="AL78" s="185">
        <f t="shared" si="3"/>
        <v>1</v>
      </c>
      <c r="AM78" s="185">
        <f t="shared" si="4"/>
        <v>7.4650000000000008E-2</v>
      </c>
      <c r="AN78" s="185">
        <f t="shared" si="5"/>
        <v>0.39398</v>
      </c>
      <c r="AO78" s="185">
        <f t="shared" si="6"/>
        <v>0.12452000000000001</v>
      </c>
      <c r="AP78" s="185">
        <f t="shared" si="7"/>
        <v>0.19217999999999999</v>
      </c>
      <c r="AQ78" s="185">
        <f t="shared" si="8"/>
        <v>0</v>
      </c>
      <c r="AR78" s="185">
        <f t="shared" si="9"/>
        <v>0</v>
      </c>
      <c r="AS78" s="185">
        <f t="shared" si="10"/>
        <v>0</v>
      </c>
      <c r="AT78" s="185">
        <f t="shared" si="11"/>
        <v>0</v>
      </c>
      <c r="AU78" s="185">
        <f t="shared" si="12"/>
        <v>0</v>
      </c>
      <c r="AV78" s="185">
        <f t="shared" si="13"/>
        <v>0</v>
      </c>
      <c r="AW78" s="185">
        <f t="shared" si="14"/>
        <v>0</v>
      </c>
      <c r="AX78" s="185">
        <f t="shared" si="15"/>
        <v>0</v>
      </c>
      <c r="AY78" s="185">
        <f t="shared" si="16"/>
        <v>0</v>
      </c>
      <c r="AZ78" s="185">
        <f t="shared" si="17"/>
        <v>0</v>
      </c>
      <c r="BA78" s="185">
        <f t="shared" si="18"/>
        <v>0</v>
      </c>
      <c r="BB78" s="185">
        <f t="shared" si="19"/>
        <v>0</v>
      </c>
      <c r="BC78" s="185">
        <f t="shared" si="20"/>
        <v>0</v>
      </c>
      <c r="BD78" s="185">
        <f t="shared" si="21"/>
        <v>0</v>
      </c>
      <c r="BE78" s="185">
        <f t="shared" si="22"/>
        <v>0</v>
      </c>
    </row>
    <row r="79" spans="1:57" s="90" customFormat="1" ht="15" hidden="1" customHeight="1" x14ac:dyDescent="0.25">
      <c r="A79" s="187" t="b">
        <v>1</v>
      </c>
      <c r="B79" s="188" t="b">
        <v>1</v>
      </c>
      <c r="C79" s="179" t="e">
        <f t="shared" ref="C79:C110" si="25">INDEX(CareerWageGrowthData,MATCH(MIN(F79, MAX(CareerAge)),CareerAge,0),MATCH(CountryAbbrev,CareerCountries,0))</f>
        <v>#N/A</v>
      </c>
      <c r="E79" s="180">
        <v>2050</v>
      </c>
      <c r="F79" s="100">
        <f t="shared" si="24"/>
        <v>92</v>
      </c>
      <c r="G79" s="181">
        <f t="shared" ref="G79:G110" si="26">Pension_age-F79</f>
        <v>-27</v>
      </c>
      <c r="H79" s="181" t="e">
        <f t="shared" si="23"/>
        <v>#N/A</v>
      </c>
      <c r="J79" s="182">
        <v>0.1</v>
      </c>
      <c r="K79" s="101"/>
      <c r="L79" s="183" t="e">
        <f t="shared" ref="L79:L110" si="27">IF($M79="",$C79,$M79)</f>
        <v>#N/A</v>
      </c>
      <c r="M79" s="184"/>
      <c r="N79" s="91"/>
      <c r="O79" s="91"/>
      <c r="P79" s="90">
        <v>0</v>
      </c>
      <c r="Q79" s="87">
        <v>1</v>
      </c>
      <c r="R79" s="185">
        <v>3.3399999999999999E-2</v>
      </c>
      <c r="S79" s="185">
        <v>3.848E-2</v>
      </c>
      <c r="T79" s="185">
        <v>4.752E-2</v>
      </c>
      <c r="U79" s="185">
        <v>0.76168000000000002</v>
      </c>
      <c r="V79" s="182">
        <v>0</v>
      </c>
      <c r="W79" s="182">
        <v>0</v>
      </c>
      <c r="X79" s="182">
        <v>0</v>
      </c>
      <c r="Y79" s="182">
        <v>0</v>
      </c>
      <c r="Z79" s="182">
        <v>0</v>
      </c>
      <c r="AA79" s="182">
        <v>0</v>
      </c>
      <c r="AB79" s="182">
        <v>0</v>
      </c>
      <c r="AC79" s="182">
        <v>0</v>
      </c>
      <c r="AD79" s="182">
        <v>0</v>
      </c>
      <c r="AE79" s="182">
        <v>0</v>
      </c>
      <c r="AF79" s="182">
        <v>0</v>
      </c>
      <c r="AG79" s="182">
        <v>0</v>
      </c>
      <c r="AH79" s="182">
        <v>0</v>
      </c>
      <c r="AI79" s="182">
        <v>0</v>
      </c>
      <c r="AJ79" s="182">
        <v>0</v>
      </c>
      <c r="AL79" s="185">
        <f t="shared" ref="AL79:AL110" si="28">Q79</f>
        <v>1</v>
      </c>
      <c r="AM79" s="185">
        <f t="shared" ref="AM79:AM110" si="29">R79</f>
        <v>3.3399999999999999E-2</v>
      </c>
      <c r="AN79" s="185">
        <f t="shared" ref="AN79:AN110" si="30">S79</f>
        <v>3.848E-2</v>
      </c>
      <c r="AO79" s="185">
        <f t="shared" ref="AO79:AO110" si="31">T79</f>
        <v>4.752E-2</v>
      </c>
      <c r="AP79" s="185">
        <f t="shared" ref="AP79:AP110" si="32">U79</f>
        <v>0.76168000000000002</v>
      </c>
      <c r="AQ79" s="185">
        <f t="shared" ref="AQ79:AQ110" si="33">V79</f>
        <v>0</v>
      </c>
      <c r="AR79" s="185">
        <f t="shared" ref="AR79:AR110" si="34">W79</f>
        <v>0</v>
      </c>
      <c r="AS79" s="185">
        <f t="shared" ref="AS79:AS110" si="35">X79</f>
        <v>0</v>
      </c>
      <c r="AT79" s="185">
        <f t="shared" ref="AT79:AT110" si="36">Y79</f>
        <v>0</v>
      </c>
      <c r="AU79" s="185">
        <f t="shared" ref="AU79:AU110" si="37">Z79</f>
        <v>0</v>
      </c>
      <c r="AV79" s="185">
        <f t="shared" ref="AV79:AV110" si="38">AA79</f>
        <v>0</v>
      </c>
      <c r="AW79" s="185">
        <f t="shared" ref="AW79:AW110" si="39">AB79</f>
        <v>0</v>
      </c>
      <c r="AX79" s="185">
        <f t="shared" ref="AX79:AX110" si="40">AC79</f>
        <v>0</v>
      </c>
      <c r="AY79" s="185">
        <f t="shared" ref="AY79:AY110" si="41">AD79</f>
        <v>0</v>
      </c>
      <c r="AZ79" s="185">
        <f t="shared" ref="AZ79:AZ110" si="42">AE79</f>
        <v>0</v>
      </c>
      <c r="BA79" s="185">
        <f t="shared" ref="BA79:BA110" si="43">AF79</f>
        <v>0</v>
      </c>
      <c r="BB79" s="185">
        <f t="shared" ref="BB79:BB110" si="44">AG79</f>
        <v>0</v>
      </c>
      <c r="BC79" s="185">
        <f t="shared" ref="BC79:BC110" si="45">AH79</f>
        <v>0</v>
      </c>
      <c r="BD79" s="185">
        <f t="shared" si="21"/>
        <v>0</v>
      </c>
      <c r="BE79" s="185">
        <f t="shared" si="22"/>
        <v>0</v>
      </c>
    </row>
    <row r="80" spans="1:57" s="90" customFormat="1" ht="15" hidden="1" customHeight="1" x14ac:dyDescent="0.25">
      <c r="A80" s="187" t="b">
        <v>1</v>
      </c>
      <c r="B80" s="188" t="b">
        <v>1</v>
      </c>
      <c r="C80" s="179" t="e">
        <f t="shared" si="25"/>
        <v>#N/A</v>
      </c>
      <c r="E80" s="180">
        <v>2051</v>
      </c>
      <c r="F80" s="100">
        <f t="shared" si="24"/>
        <v>93</v>
      </c>
      <c r="G80" s="181">
        <f t="shared" si="26"/>
        <v>-28</v>
      </c>
      <c r="H80" s="181" t="e">
        <f t="shared" ref="H80:H111" si="46">H79*(1+L80)*(1+Projection_real_wage_growth)</f>
        <v>#N/A</v>
      </c>
      <c r="J80" s="182">
        <v>0.1</v>
      </c>
      <c r="K80" s="101"/>
      <c r="L80" s="183" t="e">
        <f t="shared" si="27"/>
        <v>#N/A</v>
      </c>
      <c r="M80" s="184"/>
      <c r="N80" s="91"/>
      <c r="O80" s="91"/>
      <c r="P80" s="90">
        <v>0</v>
      </c>
      <c r="Q80" s="87">
        <v>1</v>
      </c>
      <c r="R80" s="185">
        <v>2.2550000000000001E-2</v>
      </c>
      <c r="S80" s="185">
        <v>2.3859999999999999E-2</v>
      </c>
      <c r="T80" s="185">
        <v>2.564E-2</v>
      </c>
      <c r="U80" s="185">
        <v>0.86126000000000003</v>
      </c>
      <c r="V80" s="182">
        <v>0</v>
      </c>
      <c r="W80" s="182">
        <v>0</v>
      </c>
      <c r="X80" s="182">
        <v>0</v>
      </c>
      <c r="Y80" s="182">
        <v>0</v>
      </c>
      <c r="Z80" s="182">
        <v>0</v>
      </c>
      <c r="AA80" s="182">
        <v>0</v>
      </c>
      <c r="AB80" s="182">
        <v>0</v>
      </c>
      <c r="AC80" s="182">
        <v>0</v>
      </c>
      <c r="AD80" s="182">
        <v>0</v>
      </c>
      <c r="AE80" s="182">
        <v>0</v>
      </c>
      <c r="AF80" s="182">
        <v>0</v>
      </c>
      <c r="AG80" s="182">
        <v>0</v>
      </c>
      <c r="AH80" s="182">
        <v>0</v>
      </c>
      <c r="AI80" s="182">
        <v>0</v>
      </c>
      <c r="AJ80" s="182">
        <v>0</v>
      </c>
      <c r="AL80" s="185">
        <f t="shared" si="28"/>
        <v>1</v>
      </c>
      <c r="AM80" s="185">
        <f t="shared" si="29"/>
        <v>2.2550000000000001E-2</v>
      </c>
      <c r="AN80" s="185">
        <f t="shared" si="30"/>
        <v>2.3859999999999999E-2</v>
      </c>
      <c r="AO80" s="185">
        <f t="shared" si="31"/>
        <v>2.564E-2</v>
      </c>
      <c r="AP80" s="185">
        <f t="shared" si="32"/>
        <v>0.86126000000000003</v>
      </c>
      <c r="AQ80" s="185">
        <f t="shared" si="33"/>
        <v>0</v>
      </c>
      <c r="AR80" s="185">
        <f t="shared" si="34"/>
        <v>0</v>
      </c>
      <c r="AS80" s="185">
        <f t="shared" si="35"/>
        <v>0</v>
      </c>
      <c r="AT80" s="185">
        <f t="shared" si="36"/>
        <v>0</v>
      </c>
      <c r="AU80" s="185">
        <f t="shared" si="37"/>
        <v>0</v>
      </c>
      <c r="AV80" s="185">
        <f t="shared" si="38"/>
        <v>0</v>
      </c>
      <c r="AW80" s="185">
        <f t="shared" si="39"/>
        <v>0</v>
      </c>
      <c r="AX80" s="185">
        <f t="shared" si="40"/>
        <v>0</v>
      </c>
      <c r="AY80" s="185">
        <f t="shared" si="41"/>
        <v>0</v>
      </c>
      <c r="AZ80" s="185">
        <f t="shared" si="42"/>
        <v>0</v>
      </c>
      <c r="BA80" s="185">
        <f t="shared" si="43"/>
        <v>0</v>
      </c>
      <c r="BB80" s="185">
        <f t="shared" si="44"/>
        <v>0</v>
      </c>
      <c r="BC80" s="185">
        <f t="shared" si="45"/>
        <v>0</v>
      </c>
      <c r="BD80" s="185">
        <f t="shared" si="21"/>
        <v>0</v>
      </c>
      <c r="BE80" s="185">
        <f t="shared" si="22"/>
        <v>0</v>
      </c>
    </row>
    <row r="81" spans="1:57" s="90" customFormat="1" ht="15" hidden="1" customHeight="1" x14ac:dyDescent="0.25">
      <c r="A81" s="187" t="b">
        <v>1</v>
      </c>
      <c r="B81" s="188" t="b">
        <v>1</v>
      </c>
      <c r="C81" s="179" t="e">
        <f t="shared" si="25"/>
        <v>#N/A</v>
      </c>
      <c r="E81" s="180">
        <v>2052</v>
      </c>
      <c r="F81" s="100">
        <f t="shared" si="24"/>
        <v>94</v>
      </c>
      <c r="G81" s="181">
        <f t="shared" si="26"/>
        <v>-29</v>
      </c>
      <c r="H81" s="181" t="e">
        <f t="shared" si="46"/>
        <v>#N/A</v>
      </c>
      <c r="J81" s="182">
        <v>0.1</v>
      </c>
      <c r="K81" s="101"/>
      <c r="L81" s="183" t="e">
        <f t="shared" si="27"/>
        <v>#N/A</v>
      </c>
      <c r="M81" s="184"/>
      <c r="N81" s="91"/>
      <c r="O81" s="91"/>
      <c r="P81" s="90">
        <v>0</v>
      </c>
      <c r="Q81" s="87">
        <v>1</v>
      </c>
      <c r="R81" s="185">
        <v>1.085E-2</v>
      </c>
      <c r="S81" s="185">
        <v>4.62E-3</v>
      </c>
      <c r="T81" s="185">
        <v>1.188E-2</v>
      </c>
      <c r="U81" s="185">
        <v>0.95041999999999993</v>
      </c>
      <c r="V81" s="182">
        <v>0</v>
      </c>
      <c r="W81" s="182">
        <v>0</v>
      </c>
      <c r="X81" s="182">
        <v>0</v>
      </c>
      <c r="Y81" s="182">
        <v>0</v>
      </c>
      <c r="Z81" s="182">
        <v>0</v>
      </c>
      <c r="AA81" s="182">
        <v>0</v>
      </c>
      <c r="AB81" s="182">
        <v>0</v>
      </c>
      <c r="AC81" s="182">
        <v>0</v>
      </c>
      <c r="AD81" s="182">
        <v>0</v>
      </c>
      <c r="AE81" s="182">
        <v>0</v>
      </c>
      <c r="AF81" s="182">
        <v>0</v>
      </c>
      <c r="AG81" s="182">
        <v>0</v>
      </c>
      <c r="AH81" s="182">
        <v>0</v>
      </c>
      <c r="AI81" s="182">
        <v>0</v>
      </c>
      <c r="AJ81" s="182">
        <v>0</v>
      </c>
      <c r="AL81" s="185">
        <f t="shared" si="28"/>
        <v>1</v>
      </c>
      <c r="AM81" s="185">
        <f t="shared" si="29"/>
        <v>1.085E-2</v>
      </c>
      <c r="AN81" s="185">
        <f t="shared" si="30"/>
        <v>4.62E-3</v>
      </c>
      <c r="AO81" s="185">
        <f t="shared" si="31"/>
        <v>1.188E-2</v>
      </c>
      <c r="AP81" s="185">
        <f t="shared" si="32"/>
        <v>0.95041999999999993</v>
      </c>
      <c r="AQ81" s="185">
        <f t="shared" si="33"/>
        <v>0</v>
      </c>
      <c r="AR81" s="185">
        <f t="shared" si="34"/>
        <v>0</v>
      </c>
      <c r="AS81" s="185">
        <f t="shared" si="35"/>
        <v>0</v>
      </c>
      <c r="AT81" s="185">
        <f t="shared" si="36"/>
        <v>0</v>
      </c>
      <c r="AU81" s="185">
        <f t="shared" si="37"/>
        <v>0</v>
      </c>
      <c r="AV81" s="185">
        <f t="shared" si="38"/>
        <v>0</v>
      </c>
      <c r="AW81" s="185">
        <f t="shared" si="39"/>
        <v>0</v>
      </c>
      <c r="AX81" s="185">
        <f t="shared" si="40"/>
        <v>0</v>
      </c>
      <c r="AY81" s="185">
        <f t="shared" si="41"/>
        <v>0</v>
      </c>
      <c r="AZ81" s="185">
        <f t="shared" si="42"/>
        <v>0</v>
      </c>
      <c r="BA81" s="185">
        <f t="shared" si="43"/>
        <v>0</v>
      </c>
      <c r="BB81" s="185">
        <f t="shared" si="44"/>
        <v>0</v>
      </c>
      <c r="BC81" s="185">
        <f t="shared" si="45"/>
        <v>0</v>
      </c>
      <c r="BD81" s="185">
        <f t="shared" si="21"/>
        <v>0</v>
      </c>
      <c r="BE81" s="185">
        <f t="shared" si="22"/>
        <v>0</v>
      </c>
    </row>
    <row r="82" spans="1:57" s="90" customFormat="1" ht="15" hidden="1" customHeight="1" x14ac:dyDescent="0.25">
      <c r="A82" s="187" t="b">
        <v>1</v>
      </c>
      <c r="B82" s="188" t="b">
        <v>1</v>
      </c>
      <c r="C82" s="179" t="e">
        <f t="shared" si="25"/>
        <v>#N/A</v>
      </c>
      <c r="E82" s="180">
        <v>2053</v>
      </c>
      <c r="F82" s="100">
        <f t="shared" si="24"/>
        <v>95</v>
      </c>
      <c r="G82" s="181">
        <f t="shared" si="26"/>
        <v>-30</v>
      </c>
      <c r="H82" s="181" t="e">
        <f t="shared" si="46"/>
        <v>#N/A</v>
      </c>
      <c r="J82" s="182">
        <v>0.1</v>
      </c>
      <c r="K82" s="101"/>
      <c r="L82" s="183" t="e">
        <f t="shared" si="27"/>
        <v>#N/A</v>
      </c>
      <c r="M82" s="184"/>
      <c r="N82" s="91"/>
      <c r="O82" s="91"/>
      <c r="P82" s="90">
        <v>0</v>
      </c>
      <c r="Q82" s="87">
        <v>1</v>
      </c>
      <c r="R82" s="185">
        <v>0</v>
      </c>
      <c r="S82" s="185">
        <v>0</v>
      </c>
      <c r="T82" s="185">
        <v>0</v>
      </c>
      <c r="U82" s="185">
        <v>1</v>
      </c>
      <c r="V82" s="182">
        <v>0</v>
      </c>
      <c r="W82" s="182">
        <v>0</v>
      </c>
      <c r="X82" s="182">
        <v>0</v>
      </c>
      <c r="Y82" s="182">
        <v>0</v>
      </c>
      <c r="Z82" s="182">
        <v>0</v>
      </c>
      <c r="AA82" s="182">
        <v>0</v>
      </c>
      <c r="AB82" s="182">
        <v>0</v>
      </c>
      <c r="AC82" s="182">
        <v>0</v>
      </c>
      <c r="AD82" s="182">
        <v>0</v>
      </c>
      <c r="AE82" s="182">
        <v>0</v>
      </c>
      <c r="AF82" s="182">
        <v>0</v>
      </c>
      <c r="AG82" s="182">
        <v>0</v>
      </c>
      <c r="AH82" s="182">
        <v>0</v>
      </c>
      <c r="AI82" s="182">
        <v>0</v>
      </c>
      <c r="AJ82" s="182">
        <v>0</v>
      </c>
      <c r="AL82" s="185">
        <f t="shared" si="28"/>
        <v>1</v>
      </c>
      <c r="AM82" s="185">
        <f t="shared" si="29"/>
        <v>0</v>
      </c>
      <c r="AN82" s="185">
        <f t="shared" si="30"/>
        <v>0</v>
      </c>
      <c r="AO82" s="185">
        <f t="shared" si="31"/>
        <v>0</v>
      </c>
      <c r="AP82" s="185">
        <f t="shared" si="32"/>
        <v>1</v>
      </c>
      <c r="AQ82" s="185">
        <f t="shared" si="33"/>
        <v>0</v>
      </c>
      <c r="AR82" s="185">
        <f t="shared" si="34"/>
        <v>0</v>
      </c>
      <c r="AS82" s="185">
        <f t="shared" si="35"/>
        <v>0</v>
      </c>
      <c r="AT82" s="185">
        <f t="shared" si="36"/>
        <v>0</v>
      </c>
      <c r="AU82" s="185">
        <f t="shared" si="37"/>
        <v>0</v>
      </c>
      <c r="AV82" s="185">
        <f t="shared" si="38"/>
        <v>0</v>
      </c>
      <c r="AW82" s="185">
        <f t="shared" si="39"/>
        <v>0</v>
      </c>
      <c r="AX82" s="185">
        <f t="shared" si="40"/>
        <v>0</v>
      </c>
      <c r="AY82" s="185">
        <f t="shared" si="41"/>
        <v>0</v>
      </c>
      <c r="AZ82" s="185">
        <f t="shared" si="42"/>
        <v>0</v>
      </c>
      <c r="BA82" s="185">
        <f t="shared" si="43"/>
        <v>0</v>
      </c>
      <c r="BB82" s="185">
        <f t="shared" si="44"/>
        <v>0</v>
      </c>
      <c r="BC82" s="185">
        <f t="shared" si="45"/>
        <v>0</v>
      </c>
      <c r="BD82" s="185">
        <f t="shared" si="21"/>
        <v>0</v>
      </c>
      <c r="BE82" s="185">
        <f t="shared" si="22"/>
        <v>0</v>
      </c>
    </row>
    <row r="83" spans="1:57" s="90" customFormat="1" ht="15" hidden="1" customHeight="1" x14ac:dyDescent="0.25">
      <c r="A83" s="187" t="b">
        <v>1</v>
      </c>
      <c r="B83" s="188" t="b">
        <v>1</v>
      </c>
      <c r="C83" s="179" t="e">
        <f t="shared" si="25"/>
        <v>#N/A</v>
      </c>
      <c r="E83" s="180">
        <v>2054</v>
      </c>
      <c r="F83" s="100">
        <f t="shared" si="24"/>
        <v>96</v>
      </c>
      <c r="G83" s="181">
        <f t="shared" si="26"/>
        <v>-31</v>
      </c>
      <c r="H83" s="181" t="e">
        <f t="shared" si="46"/>
        <v>#N/A</v>
      </c>
      <c r="J83" s="182">
        <v>0</v>
      </c>
      <c r="K83" s="101"/>
      <c r="L83" s="183" t="e">
        <f t="shared" si="27"/>
        <v>#N/A</v>
      </c>
      <c r="M83" s="184"/>
      <c r="N83" s="91"/>
      <c r="O83" s="91"/>
      <c r="P83" s="90">
        <v>0</v>
      </c>
      <c r="Q83" s="87">
        <v>1</v>
      </c>
      <c r="R83" s="185">
        <v>0</v>
      </c>
      <c r="S83" s="185">
        <v>0</v>
      </c>
      <c r="T83" s="185">
        <v>0</v>
      </c>
      <c r="U83" s="185">
        <v>0</v>
      </c>
      <c r="V83" s="182">
        <v>0</v>
      </c>
      <c r="W83" s="182">
        <v>0</v>
      </c>
      <c r="X83" s="182">
        <v>0</v>
      </c>
      <c r="Y83" s="182">
        <v>0</v>
      </c>
      <c r="Z83" s="182">
        <v>0</v>
      </c>
      <c r="AA83" s="182">
        <v>0</v>
      </c>
      <c r="AB83" s="182">
        <v>0</v>
      </c>
      <c r="AC83" s="182">
        <v>0</v>
      </c>
      <c r="AD83" s="182">
        <v>0</v>
      </c>
      <c r="AE83" s="182">
        <v>0</v>
      </c>
      <c r="AF83" s="182">
        <v>0</v>
      </c>
      <c r="AG83" s="182">
        <v>0</v>
      </c>
      <c r="AH83" s="182">
        <v>0</v>
      </c>
      <c r="AI83" s="182">
        <v>0</v>
      </c>
      <c r="AJ83" s="182">
        <v>0</v>
      </c>
      <c r="AL83" s="185">
        <f t="shared" si="28"/>
        <v>1</v>
      </c>
      <c r="AM83" s="185">
        <f t="shared" si="29"/>
        <v>0</v>
      </c>
      <c r="AN83" s="185">
        <f t="shared" si="30"/>
        <v>0</v>
      </c>
      <c r="AO83" s="185">
        <f t="shared" si="31"/>
        <v>0</v>
      </c>
      <c r="AP83" s="185">
        <f t="shared" si="32"/>
        <v>0</v>
      </c>
      <c r="AQ83" s="185">
        <f t="shared" si="33"/>
        <v>0</v>
      </c>
      <c r="AR83" s="185">
        <f t="shared" si="34"/>
        <v>0</v>
      </c>
      <c r="AS83" s="185">
        <f t="shared" si="35"/>
        <v>0</v>
      </c>
      <c r="AT83" s="185">
        <f t="shared" si="36"/>
        <v>0</v>
      </c>
      <c r="AU83" s="185">
        <f t="shared" si="37"/>
        <v>0</v>
      </c>
      <c r="AV83" s="185">
        <f t="shared" si="38"/>
        <v>0</v>
      </c>
      <c r="AW83" s="185">
        <f t="shared" si="39"/>
        <v>0</v>
      </c>
      <c r="AX83" s="185">
        <f t="shared" si="40"/>
        <v>0</v>
      </c>
      <c r="AY83" s="185">
        <f t="shared" si="41"/>
        <v>0</v>
      </c>
      <c r="AZ83" s="185">
        <f t="shared" si="42"/>
        <v>0</v>
      </c>
      <c r="BA83" s="185">
        <f t="shared" si="43"/>
        <v>0</v>
      </c>
      <c r="BB83" s="185">
        <f t="shared" si="44"/>
        <v>0</v>
      </c>
      <c r="BC83" s="185">
        <f t="shared" si="45"/>
        <v>0</v>
      </c>
      <c r="BD83" s="185">
        <f t="shared" si="21"/>
        <v>0</v>
      </c>
      <c r="BE83" s="185">
        <f t="shared" si="22"/>
        <v>0</v>
      </c>
    </row>
    <row r="84" spans="1:57" s="90" customFormat="1" ht="15" hidden="1" customHeight="1" x14ac:dyDescent="0.25">
      <c r="A84" s="187" t="b">
        <v>1</v>
      </c>
      <c r="B84" s="188" t="b">
        <v>1</v>
      </c>
      <c r="C84" s="179" t="e">
        <f t="shared" si="25"/>
        <v>#N/A</v>
      </c>
      <c r="E84" s="180">
        <v>2055</v>
      </c>
      <c r="F84" s="100">
        <f t="shared" si="24"/>
        <v>97</v>
      </c>
      <c r="G84" s="181">
        <f t="shared" si="26"/>
        <v>-32</v>
      </c>
      <c r="H84" s="181" t="e">
        <f t="shared" si="46"/>
        <v>#N/A</v>
      </c>
      <c r="J84" s="182">
        <v>0</v>
      </c>
      <c r="K84" s="101"/>
      <c r="L84" s="183" t="e">
        <f t="shared" si="27"/>
        <v>#N/A</v>
      </c>
      <c r="M84" s="184"/>
      <c r="N84" s="91"/>
      <c r="O84" s="91"/>
      <c r="P84" s="90">
        <v>0</v>
      </c>
      <c r="Q84" s="87">
        <v>1</v>
      </c>
      <c r="R84" s="185">
        <v>0</v>
      </c>
      <c r="S84" s="185">
        <v>0</v>
      </c>
      <c r="T84" s="185">
        <v>0</v>
      </c>
      <c r="U84" s="185">
        <v>0</v>
      </c>
      <c r="V84" s="182">
        <v>0</v>
      </c>
      <c r="W84" s="182">
        <v>0</v>
      </c>
      <c r="X84" s="182">
        <v>0</v>
      </c>
      <c r="Y84" s="182">
        <v>0</v>
      </c>
      <c r="Z84" s="182">
        <v>0</v>
      </c>
      <c r="AA84" s="182">
        <v>0</v>
      </c>
      <c r="AB84" s="182">
        <v>0</v>
      </c>
      <c r="AC84" s="182">
        <v>0</v>
      </c>
      <c r="AD84" s="182">
        <v>0</v>
      </c>
      <c r="AE84" s="182">
        <v>0</v>
      </c>
      <c r="AF84" s="182">
        <v>0</v>
      </c>
      <c r="AG84" s="182">
        <v>0</v>
      </c>
      <c r="AH84" s="182">
        <v>0</v>
      </c>
      <c r="AI84" s="182">
        <v>0</v>
      </c>
      <c r="AJ84" s="182">
        <v>0</v>
      </c>
      <c r="AL84" s="185">
        <f t="shared" si="28"/>
        <v>1</v>
      </c>
      <c r="AM84" s="185">
        <f t="shared" si="29"/>
        <v>0</v>
      </c>
      <c r="AN84" s="185">
        <f t="shared" si="30"/>
        <v>0</v>
      </c>
      <c r="AO84" s="185">
        <f t="shared" si="31"/>
        <v>0</v>
      </c>
      <c r="AP84" s="185">
        <f t="shared" si="32"/>
        <v>0</v>
      </c>
      <c r="AQ84" s="185">
        <f t="shared" si="33"/>
        <v>0</v>
      </c>
      <c r="AR84" s="185">
        <f t="shared" si="34"/>
        <v>0</v>
      </c>
      <c r="AS84" s="185">
        <f t="shared" si="35"/>
        <v>0</v>
      </c>
      <c r="AT84" s="185">
        <f t="shared" si="36"/>
        <v>0</v>
      </c>
      <c r="AU84" s="185">
        <f t="shared" si="37"/>
        <v>0</v>
      </c>
      <c r="AV84" s="185">
        <f t="shared" si="38"/>
        <v>0</v>
      </c>
      <c r="AW84" s="185">
        <f t="shared" si="39"/>
        <v>0</v>
      </c>
      <c r="AX84" s="185">
        <f t="shared" si="40"/>
        <v>0</v>
      </c>
      <c r="AY84" s="185">
        <f t="shared" si="41"/>
        <v>0</v>
      </c>
      <c r="AZ84" s="185">
        <f t="shared" si="42"/>
        <v>0</v>
      </c>
      <c r="BA84" s="185">
        <f t="shared" si="43"/>
        <v>0</v>
      </c>
      <c r="BB84" s="185">
        <f t="shared" si="44"/>
        <v>0</v>
      </c>
      <c r="BC84" s="185">
        <f t="shared" si="45"/>
        <v>0</v>
      </c>
      <c r="BD84" s="185">
        <f t="shared" si="21"/>
        <v>0</v>
      </c>
      <c r="BE84" s="185">
        <f t="shared" si="22"/>
        <v>0</v>
      </c>
    </row>
    <row r="85" spans="1:57" s="90" customFormat="1" ht="15" hidden="1" customHeight="1" x14ac:dyDescent="0.25">
      <c r="A85" s="187" t="b">
        <v>1</v>
      </c>
      <c r="B85" s="188" t="b">
        <v>1</v>
      </c>
      <c r="C85" s="179" t="e">
        <f t="shared" si="25"/>
        <v>#N/A</v>
      </c>
      <c r="E85" s="180">
        <v>2056</v>
      </c>
      <c r="F85" s="100">
        <f t="shared" si="24"/>
        <v>98</v>
      </c>
      <c r="G85" s="181">
        <f t="shared" si="26"/>
        <v>-33</v>
      </c>
      <c r="H85" s="181" t="e">
        <f t="shared" si="46"/>
        <v>#N/A</v>
      </c>
      <c r="J85" s="182">
        <v>0</v>
      </c>
      <c r="K85" s="101"/>
      <c r="L85" s="183" t="e">
        <f t="shared" si="27"/>
        <v>#N/A</v>
      </c>
      <c r="M85" s="184"/>
      <c r="N85" s="91"/>
      <c r="O85" s="91"/>
      <c r="P85" s="90">
        <v>0</v>
      </c>
      <c r="Q85" s="87">
        <v>1</v>
      </c>
      <c r="R85" s="185">
        <v>0</v>
      </c>
      <c r="S85" s="185">
        <v>0</v>
      </c>
      <c r="T85" s="185">
        <v>0</v>
      </c>
      <c r="U85" s="185">
        <v>0</v>
      </c>
      <c r="V85" s="182">
        <v>0</v>
      </c>
      <c r="W85" s="182">
        <v>0</v>
      </c>
      <c r="X85" s="182">
        <v>0</v>
      </c>
      <c r="Y85" s="182">
        <v>0</v>
      </c>
      <c r="Z85" s="182">
        <v>0</v>
      </c>
      <c r="AA85" s="182">
        <v>0</v>
      </c>
      <c r="AB85" s="182">
        <v>0</v>
      </c>
      <c r="AC85" s="182">
        <v>0</v>
      </c>
      <c r="AD85" s="182">
        <v>0</v>
      </c>
      <c r="AE85" s="182">
        <v>0</v>
      </c>
      <c r="AF85" s="182">
        <v>0</v>
      </c>
      <c r="AG85" s="182">
        <v>0</v>
      </c>
      <c r="AH85" s="182">
        <v>0</v>
      </c>
      <c r="AI85" s="182">
        <v>0</v>
      </c>
      <c r="AJ85" s="182">
        <v>0</v>
      </c>
      <c r="AL85" s="185">
        <f t="shared" si="28"/>
        <v>1</v>
      </c>
      <c r="AM85" s="185">
        <f t="shared" si="29"/>
        <v>0</v>
      </c>
      <c r="AN85" s="185">
        <f t="shared" si="30"/>
        <v>0</v>
      </c>
      <c r="AO85" s="185">
        <f t="shared" si="31"/>
        <v>0</v>
      </c>
      <c r="AP85" s="185">
        <f t="shared" si="32"/>
        <v>0</v>
      </c>
      <c r="AQ85" s="185">
        <f t="shared" si="33"/>
        <v>0</v>
      </c>
      <c r="AR85" s="185">
        <f t="shared" si="34"/>
        <v>0</v>
      </c>
      <c r="AS85" s="185">
        <f t="shared" si="35"/>
        <v>0</v>
      </c>
      <c r="AT85" s="185">
        <f t="shared" si="36"/>
        <v>0</v>
      </c>
      <c r="AU85" s="185">
        <f t="shared" si="37"/>
        <v>0</v>
      </c>
      <c r="AV85" s="185">
        <f t="shared" si="38"/>
        <v>0</v>
      </c>
      <c r="AW85" s="185">
        <f t="shared" si="39"/>
        <v>0</v>
      </c>
      <c r="AX85" s="185">
        <f t="shared" si="40"/>
        <v>0</v>
      </c>
      <c r="AY85" s="185">
        <f t="shared" si="41"/>
        <v>0</v>
      </c>
      <c r="AZ85" s="185">
        <f t="shared" si="42"/>
        <v>0</v>
      </c>
      <c r="BA85" s="185">
        <f t="shared" si="43"/>
        <v>0</v>
      </c>
      <c r="BB85" s="185">
        <f t="shared" si="44"/>
        <v>0</v>
      </c>
      <c r="BC85" s="185">
        <f t="shared" si="45"/>
        <v>0</v>
      </c>
      <c r="BD85" s="185">
        <f t="shared" si="21"/>
        <v>0</v>
      </c>
      <c r="BE85" s="185">
        <f t="shared" si="22"/>
        <v>0</v>
      </c>
    </row>
    <row r="86" spans="1:57" s="90" customFormat="1" ht="15" hidden="1" customHeight="1" x14ac:dyDescent="0.25">
      <c r="A86" s="187" t="b">
        <v>1</v>
      </c>
      <c r="B86" s="188" t="b">
        <v>1</v>
      </c>
      <c r="C86" s="179" t="e">
        <f t="shared" si="25"/>
        <v>#N/A</v>
      </c>
      <c r="E86" s="180">
        <v>2057</v>
      </c>
      <c r="F86" s="100">
        <f t="shared" si="24"/>
        <v>99</v>
      </c>
      <c r="G86" s="181">
        <f t="shared" si="26"/>
        <v>-34</v>
      </c>
      <c r="H86" s="181" t="e">
        <f t="shared" si="46"/>
        <v>#N/A</v>
      </c>
      <c r="J86" s="182">
        <v>0</v>
      </c>
      <c r="K86" s="101"/>
      <c r="L86" s="183" t="e">
        <f t="shared" si="27"/>
        <v>#N/A</v>
      </c>
      <c r="M86" s="184"/>
      <c r="N86" s="91"/>
      <c r="O86" s="91"/>
      <c r="P86" s="90">
        <v>0</v>
      </c>
      <c r="Q86" s="87">
        <v>1</v>
      </c>
      <c r="R86" s="185">
        <v>0</v>
      </c>
      <c r="S86" s="185">
        <v>0</v>
      </c>
      <c r="T86" s="185">
        <v>0</v>
      </c>
      <c r="U86" s="185">
        <v>0</v>
      </c>
      <c r="V86" s="182">
        <v>0</v>
      </c>
      <c r="W86" s="182">
        <v>0</v>
      </c>
      <c r="X86" s="182">
        <v>0</v>
      </c>
      <c r="Y86" s="182">
        <v>0</v>
      </c>
      <c r="Z86" s="182">
        <v>0</v>
      </c>
      <c r="AA86" s="182">
        <v>0</v>
      </c>
      <c r="AB86" s="182">
        <v>0</v>
      </c>
      <c r="AC86" s="182">
        <v>0</v>
      </c>
      <c r="AD86" s="182">
        <v>0</v>
      </c>
      <c r="AE86" s="182">
        <v>0</v>
      </c>
      <c r="AF86" s="182">
        <v>0</v>
      </c>
      <c r="AG86" s="182">
        <v>0</v>
      </c>
      <c r="AH86" s="182">
        <v>0</v>
      </c>
      <c r="AI86" s="182">
        <v>0</v>
      </c>
      <c r="AJ86" s="182">
        <v>0</v>
      </c>
      <c r="AL86" s="185">
        <f t="shared" si="28"/>
        <v>1</v>
      </c>
      <c r="AM86" s="185">
        <f t="shared" si="29"/>
        <v>0</v>
      </c>
      <c r="AN86" s="185">
        <f t="shared" si="30"/>
        <v>0</v>
      </c>
      <c r="AO86" s="185">
        <f t="shared" si="31"/>
        <v>0</v>
      </c>
      <c r="AP86" s="185">
        <f t="shared" si="32"/>
        <v>0</v>
      </c>
      <c r="AQ86" s="185">
        <f t="shared" si="33"/>
        <v>0</v>
      </c>
      <c r="AR86" s="185">
        <f t="shared" si="34"/>
        <v>0</v>
      </c>
      <c r="AS86" s="185">
        <f t="shared" si="35"/>
        <v>0</v>
      </c>
      <c r="AT86" s="185">
        <f t="shared" si="36"/>
        <v>0</v>
      </c>
      <c r="AU86" s="185">
        <f t="shared" si="37"/>
        <v>0</v>
      </c>
      <c r="AV86" s="185">
        <f t="shared" si="38"/>
        <v>0</v>
      </c>
      <c r="AW86" s="185">
        <f t="shared" si="39"/>
        <v>0</v>
      </c>
      <c r="AX86" s="185">
        <f t="shared" si="40"/>
        <v>0</v>
      </c>
      <c r="AY86" s="185">
        <f t="shared" si="41"/>
        <v>0</v>
      </c>
      <c r="AZ86" s="185">
        <f t="shared" si="42"/>
        <v>0</v>
      </c>
      <c r="BA86" s="185">
        <f t="shared" si="43"/>
        <v>0</v>
      </c>
      <c r="BB86" s="185">
        <f t="shared" si="44"/>
        <v>0</v>
      </c>
      <c r="BC86" s="185">
        <f t="shared" si="45"/>
        <v>0</v>
      </c>
      <c r="BD86" s="185">
        <f t="shared" si="21"/>
        <v>0</v>
      </c>
      <c r="BE86" s="185">
        <f t="shared" si="22"/>
        <v>0</v>
      </c>
    </row>
    <row r="87" spans="1:57" s="90" customFormat="1" ht="15" hidden="1" customHeight="1" x14ac:dyDescent="0.25">
      <c r="A87" s="187" t="b">
        <v>1</v>
      </c>
      <c r="B87" s="188" t="b">
        <v>1</v>
      </c>
      <c r="C87" s="179" t="e">
        <f t="shared" si="25"/>
        <v>#N/A</v>
      </c>
      <c r="E87" s="180">
        <v>2058</v>
      </c>
      <c r="F87" s="100">
        <f t="shared" si="24"/>
        <v>100</v>
      </c>
      <c r="G87" s="181">
        <f t="shared" si="26"/>
        <v>-35</v>
      </c>
      <c r="H87" s="181" t="e">
        <f t="shared" si="46"/>
        <v>#N/A</v>
      </c>
      <c r="J87" s="182">
        <v>0</v>
      </c>
      <c r="K87" s="101"/>
      <c r="L87" s="183" t="e">
        <f t="shared" si="27"/>
        <v>#N/A</v>
      </c>
      <c r="M87" s="184"/>
      <c r="N87" s="91"/>
      <c r="O87" s="91"/>
      <c r="P87" s="90">
        <v>0</v>
      </c>
      <c r="Q87" s="87">
        <v>1</v>
      </c>
      <c r="R87" s="185">
        <v>0</v>
      </c>
      <c r="S87" s="185">
        <v>0</v>
      </c>
      <c r="T87" s="185">
        <v>0</v>
      </c>
      <c r="U87" s="185">
        <v>0</v>
      </c>
      <c r="V87" s="182">
        <v>0</v>
      </c>
      <c r="W87" s="182">
        <v>0</v>
      </c>
      <c r="X87" s="182">
        <v>0</v>
      </c>
      <c r="Y87" s="182">
        <v>0</v>
      </c>
      <c r="Z87" s="182">
        <v>0</v>
      </c>
      <c r="AA87" s="182">
        <v>0</v>
      </c>
      <c r="AB87" s="182">
        <v>0</v>
      </c>
      <c r="AC87" s="182">
        <v>0</v>
      </c>
      <c r="AD87" s="182">
        <v>0</v>
      </c>
      <c r="AE87" s="182">
        <v>0</v>
      </c>
      <c r="AF87" s="182">
        <v>0</v>
      </c>
      <c r="AG87" s="182">
        <v>0</v>
      </c>
      <c r="AH87" s="182">
        <v>0</v>
      </c>
      <c r="AI87" s="182">
        <v>0</v>
      </c>
      <c r="AJ87" s="182">
        <v>0</v>
      </c>
      <c r="AL87" s="185">
        <f t="shared" si="28"/>
        <v>1</v>
      </c>
      <c r="AM87" s="185">
        <f t="shared" si="29"/>
        <v>0</v>
      </c>
      <c r="AN87" s="185">
        <f t="shared" si="30"/>
        <v>0</v>
      </c>
      <c r="AO87" s="185">
        <f t="shared" si="31"/>
        <v>0</v>
      </c>
      <c r="AP87" s="185">
        <f t="shared" si="32"/>
        <v>0</v>
      </c>
      <c r="AQ87" s="185">
        <f t="shared" si="33"/>
        <v>0</v>
      </c>
      <c r="AR87" s="185">
        <f t="shared" si="34"/>
        <v>0</v>
      </c>
      <c r="AS87" s="185">
        <f t="shared" si="35"/>
        <v>0</v>
      </c>
      <c r="AT87" s="185">
        <f t="shared" si="36"/>
        <v>0</v>
      </c>
      <c r="AU87" s="185">
        <f t="shared" si="37"/>
        <v>0</v>
      </c>
      <c r="AV87" s="185">
        <f t="shared" si="38"/>
        <v>0</v>
      </c>
      <c r="AW87" s="185">
        <f t="shared" si="39"/>
        <v>0</v>
      </c>
      <c r="AX87" s="185">
        <f t="shared" si="40"/>
        <v>0</v>
      </c>
      <c r="AY87" s="185">
        <f t="shared" si="41"/>
        <v>0</v>
      </c>
      <c r="AZ87" s="185">
        <f t="shared" si="42"/>
        <v>0</v>
      </c>
      <c r="BA87" s="185">
        <f t="shared" si="43"/>
        <v>0</v>
      </c>
      <c r="BB87" s="185">
        <f t="shared" si="44"/>
        <v>0</v>
      </c>
      <c r="BC87" s="185">
        <f t="shared" si="45"/>
        <v>0</v>
      </c>
      <c r="BD87" s="185">
        <f t="shared" si="21"/>
        <v>0</v>
      </c>
      <c r="BE87" s="185">
        <f t="shared" si="22"/>
        <v>0</v>
      </c>
    </row>
    <row r="88" spans="1:57" s="90" customFormat="1" ht="15" hidden="1" customHeight="1" x14ac:dyDescent="0.25">
      <c r="A88" s="187" t="b">
        <v>1</v>
      </c>
      <c r="B88" s="188" t="b">
        <v>1</v>
      </c>
      <c r="C88" s="179" t="e">
        <f t="shared" si="25"/>
        <v>#N/A</v>
      </c>
      <c r="E88" s="180">
        <v>2059</v>
      </c>
      <c r="F88" s="100">
        <f t="shared" si="24"/>
        <v>101</v>
      </c>
      <c r="G88" s="181">
        <f t="shared" si="26"/>
        <v>-36</v>
      </c>
      <c r="H88" s="181" t="e">
        <f t="shared" si="46"/>
        <v>#N/A</v>
      </c>
      <c r="J88" s="182">
        <v>0</v>
      </c>
      <c r="K88" s="101"/>
      <c r="L88" s="183" t="e">
        <f t="shared" si="27"/>
        <v>#N/A</v>
      </c>
      <c r="M88" s="184"/>
      <c r="N88" s="91"/>
      <c r="O88" s="91"/>
      <c r="P88" s="90">
        <v>0</v>
      </c>
      <c r="Q88" s="87">
        <v>1</v>
      </c>
      <c r="R88" s="185">
        <v>0</v>
      </c>
      <c r="S88" s="185">
        <v>0</v>
      </c>
      <c r="T88" s="185">
        <v>0</v>
      </c>
      <c r="U88" s="185">
        <v>0</v>
      </c>
      <c r="V88" s="182">
        <v>0</v>
      </c>
      <c r="W88" s="182">
        <v>0</v>
      </c>
      <c r="X88" s="182">
        <v>0</v>
      </c>
      <c r="Y88" s="182">
        <v>0</v>
      </c>
      <c r="Z88" s="182">
        <v>0</v>
      </c>
      <c r="AA88" s="182">
        <v>0</v>
      </c>
      <c r="AB88" s="182">
        <v>0</v>
      </c>
      <c r="AC88" s="182">
        <v>0</v>
      </c>
      <c r="AD88" s="182">
        <v>0</v>
      </c>
      <c r="AE88" s="182">
        <v>0</v>
      </c>
      <c r="AF88" s="182">
        <v>0</v>
      </c>
      <c r="AG88" s="182">
        <v>0</v>
      </c>
      <c r="AH88" s="182">
        <v>0</v>
      </c>
      <c r="AI88" s="182">
        <v>0</v>
      </c>
      <c r="AJ88" s="182">
        <v>0</v>
      </c>
      <c r="AL88" s="185">
        <f t="shared" si="28"/>
        <v>1</v>
      </c>
      <c r="AM88" s="185">
        <f t="shared" si="29"/>
        <v>0</v>
      </c>
      <c r="AN88" s="185">
        <f t="shared" si="30"/>
        <v>0</v>
      </c>
      <c r="AO88" s="185">
        <f t="shared" si="31"/>
        <v>0</v>
      </c>
      <c r="AP88" s="185">
        <f t="shared" si="32"/>
        <v>0</v>
      </c>
      <c r="AQ88" s="185">
        <f t="shared" si="33"/>
        <v>0</v>
      </c>
      <c r="AR88" s="185">
        <f t="shared" si="34"/>
        <v>0</v>
      </c>
      <c r="AS88" s="185">
        <f t="shared" si="35"/>
        <v>0</v>
      </c>
      <c r="AT88" s="185">
        <f t="shared" si="36"/>
        <v>0</v>
      </c>
      <c r="AU88" s="185">
        <f t="shared" si="37"/>
        <v>0</v>
      </c>
      <c r="AV88" s="185">
        <f t="shared" si="38"/>
        <v>0</v>
      </c>
      <c r="AW88" s="185">
        <f t="shared" si="39"/>
        <v>0</v>
      </c>
      <c r="AX88" s="185">
        <f t="shared" si="40"/>
        <v>0</v>
      </c>
      <c r="AY88" s="185">
        <f t="shared" si="41"/>
        <v>0</v>
      </c>
      <c r="AZ88" s="185">
        <f t="shared" si="42"/>
        <v>0</v>
      </c>
      <c r="BA88" s="185">
        <f t="shared" si="43"/>
        <v>0</v>
      </c>
      <c r="BB88" s="185">
        <f t="shared" si="44"/>
        <v>0</v>
      </c>
      <c r="BC88" s="185">
        <f t="shared" si="45"/>
        <v>0</v>
      </c>
      <c r="BD88" s="185">
        <f t="shared" si="21"/>
        <v>0</v>
      </c>
      <c r="BE88" s="185">
        <f t="shared" si="22"/>
        <v>0</v>
      </c>
    </row>
    <row r="89" spans="1:57" s="90" customFormat="1" ht="15" hidden="1" customHeight="1" x14ac:dyDescent="0.25">
      <c r="A89" s="187" t="b">
        <v>1</v>
      </c>
      <c r="B89" s="188" t="b">
        <v>1</v>
      </c>
      <c r="C89" s="179" t="e">
        <f t="shared" si="25"/>
        <v>#N/A</v>
      </c>
      <c r="E89" s="180">
        <v>2060</v>
      </c>
      <c r="F89" s="100">
        <f t="shared" si="24"/>
        <v>102</v>
      </c>
      <c r="G89" s="181">
        <f t="shared" si="26"/>
        <v>-37</v>
      </c>
      <c r="H89" s="181" t="e">
        <f t="shared" si="46"/>
        <v>#N/A</v>
      </c>
      <c r="J89" s="182">
        <v>0</v>
      </c>
      <c r="K89" s="101"/>
      <c r="L89" s="183" t="e">
        <f t="shared" si="27"/>
        <v>#N/A</v>
      </c>
      <c r="M89" s="184"/>
      <c r="N89" s="91"/>
      <c r="O89" s="91"/>
      <c r="P89" s="90">
        <v>0</v>
      </c>
      <c r="Q89" s="87">
        <v>1</v>
      </c>
      <c r="R89" s="185">
        <v>0</v>
      </c>
      <c r="S89" s="185">
        <v>0</v>
      </c>
      <c r="T89" s="185">
        <v>0</v>
      </c>
      <c r="U89" s="185">
        <v>0</v>
      </c>
      <c r="V89" s="182">
        <v>0</v>
      </c>
      <c r="W89" s="182">
        <v>0</v>
      </c>
      <c r="X89" s="182">
        <v>0</v>
      </c>
      <c r="Y89" s="182">
        <v>0</v>
      </c>
      <c r="Z89" s="182">
        <v>0</v>
      </c>
      <c r="AA89" s="182">
        <v>0</v>
      </c>
      <c r="AB89" s="182">
        <v>0</v>
      </c>
      <c r="AC89" s="182">
        <v>0</v>
      </c>
      <c r="AD89" s="182">
        <v>0</v>
      </c>
      <c r="AE89" s="182">
        <v>0</v>
      </c>
      <c r="AF89" s="182">
        <v>0</v>
      </c>
      <c r="AG89" s="182">
        <v>0</v>
      </c>
      <c r="AH89" s="182">
        <v>0</v>
      </c>
      <c r="AI89" s="182">
        <v>0</v>
      </c>
      <c r="AJ89" s="182">
        <v>0</v>
      </c>
      <c r="AL89" s="185">
        <f t="shared" si="28"/>
        <v>1</v>
      </c>
      <c r="AM89" s="185">
        <f t="shared" si="29"/>
        <v>0</v>
      </c>
      <c r="AN89" s="185">
        <f t="shared" si="30"/>
        <v>0</v>
      </c>
      <c r="AO89" s="185">
        <f t="shared" si="31"/>
        <v>0</v>
      </c>
      <c r="AP89" s="185">
        <f t="shared" si="32"/>
        <v>0</v>
      </c>
      <c r="AQ89" s="185">
        <f t="shared" si="33"/>
        <v>0</v>
      </c>
      <c r="AR89" s="185">
        <f t="shared" si="34"/>
        <v>0</v>
      </c>
      <c r="AS89" s="185">
        <f t="shared" si="35"/>
        <v>0</v>
      </c>
      <c r="AT89" s="185">
        <f t="shared" si="36"/>
        <v>0</v>
      </c>
      <c r="AU89" s="185">
        <f t="shared" si="37"/>
        <v>0</v>
      </c>
      <c r="AV89" s="185">
        <f t="shared" si="38"/>
        <v>0</v>
      </c>
      <c r="AW89" s="185">
        <f t="shared" si="39"/>
        <v>0</v>
      </c>
      <c r="AX89" s="185">
        <f t="shared" si="40"/>
        <v>0</v>
      </c>
      <c r="AY89" s="185">
        <f t="shared" si="41"/>
        <v>0</v>
      </c>
      <c r="AZ89" s="185">
        <f t="shared" si="42"/>
        <v>0</v>
      </c>
      <c r="BA89" s="185">
        <f t="shared" si="43"/>
        <v>0</v>
      </c>
      <c r="BB89" s="185">
        <f t="shared" si="44"/>
        <v>0</v>
      </c>
      <c r="BC89" s="185">
        <f t="shared" si="45"/>
        <v>0</v>
      </c>
      <c r="BD89" s="185">
        <f t="shared" si="21"/>
        <v>0</v>
      </c>
      <c r="BE89" s="185">
        <f t="shared" si="22"/>
        <v>0</v>
      </c>
    </row>
    <row r="90" spans="1:57" s="90" customFormat="1" ht="15" hidden="1" customHeight="1" x14ac:dyDescent="0.25">
      <c r="A90" s="187" t="b">
        <v>1</v>
      </c>
      <c r="B90" s="188" t="b">
        <v>1</v>
      </c>
      <c r="C90" s="179" t="e">
        <f t="shared" si="25"/>
        <v>#N/A</v>
      </c>
      <c r="E90" s="180">
        <v>2061</v>
      </c>
      <c r="F90" s="100">
        <f t="shared" si="24"/>
        <v>103</v>
      </c>
      <c r="G90" s="181">
        <f t="shared" si="26"/>
        <v>-38</v>
      </c>
      <c r="H90" s="181" t="e">
        <f t="shared" si="46"/>
        <v>#N/A</v>
      </c>
      <c r="J90" s="182">
        <v>0</v>
      </c>
      <c r="K90" s="101"/>
      <c r="L90" s="183" t="e">
        <f t="shared" si="27"/>
        <v>#N/A</v>
      </c>
      <c r="M90" s="184"/>
      <c r="N90" s="91"/>
      <c r="O90" s="91"/>
      <c r="P90" s="90">
        <v>0</v>
      </c>
      <c r="Q90" s="87">
        <v>1</v>
      </c>
      <c r="R90" s="185">
        <v>0</v>
      </c>
      <c r="S90" s="185">
        <v>0</v>
      </c>
      <c r="T90" s="185">
        <v>0</v>
      </c>
      <c r="U90" s="185">
        <v>0</v>
      </c>
      <c r="V90" s="182">
        <v>0</v>
      </c>
      <c r="W90" s="182">
        <v>0</v>
      </c>
      <c r="X90" s="182">
        <v>0</v>
      </c>
      <c r="Y90" s="182">
        <v>0</v>
      </c>
      <c r="Z90" s="182">
        <v>0</v>
      </c>
      <c r="AA90" s="182">
        <v>0</v>
      </c>
      <c r="AB90" s="182">
        <v>0</v>
      </c>
      <c r="AC90" s="182">
        <v>0</v>
      </c>
      <c r="AD90" s="182">
        <v>0</v>
      </c>
      <c r="AE90" s="182">
        <v>0</v>
      </c>
      <c r="AF90" s="182">
        <v>0</v>
      </c>
      <c r="AG90" s="182">
        <v>0</v>
      </c>
      <c r="AH90" s="182">
        <v>0</v>
      </c>
      <c r="AI90" s="182">
        <v>0</v>
      </c>
      <c r="AJ90" s="182">
        <v>0</v>
      </c>
      <c r="AL90" s="185">
        <f t="shared" si="28"/>
        <v>1</v>
      </c>
      <c r="AM90" s="185">
        <f t="shared" si="29"/>
        <v>0</v>
      </c>
      <c r="AN90" s="185">
        <f t="shared" si="30"/>
        <v>0</v>
      </c>
      <c r="AO90" s="185">
        <f t="shared" si="31"/>
        <v>0</v>
      </c>
      <c r="AP90" s="185">
        <f t="shared" si="32"/>
        <v>0</v>
      </c>
      <c r="AQ90" s="185">
        <f t="shared" si="33"/>
        <v>0</v>
      </c>
      <c r="AR90" s="185">
        <f t="shared" si="34"/>
        <v>0</v>
      </c>
      <c r="AS90" s="185">
        <f t="shared" si="35"/>
        <v>0</v>
      </c>
      <c r="AT90" s="185">
        <f t="shared" si="36"/>
        <v>0</v>
      </c>
      <c r="AU90" s="185">
        <f t="shared" si="37"/>
        <v>0</v>
      </c>
      <c r="AV90" s="185">
        <f t="shared" si="38"/>
        <v>0</v>
      </c>
      <c r="AW90" s="185">
        <f t="shared" si="39"/>
        <v>0</v>
      </c>
      <c r="AX90" s="185">
        <f t="shared" si="40"/>
        <v>0</v>
      </c>
      <c r="AY90" s="185">
        <f t="shared" si="41"/>
        <v>0</v>
      </c>
      <c r="AZ90" s="185">
        <f t="shared" si="42"/>
        <v>0</v>
      </c>
      <c r="BA90" s="185">
        <f t="shared" si="43"/>
        <v>0</v>
      </c>
      <c r="BB90" s="185">
        <f t="shared" si="44"/>
        <v>0</v>
      </c>
      <c r="BC90" s="185">
        <f t="shared" si="45"/>
        <v>0</v>
      </c>
      <c r="BD90" s="185">
        <f t="shared" si="21"/>
        <v>0</v>
      </c>
      <c r="BE90" s="185">
        <f t="shared" si="22"/>
        <v>0</v>
      </c>
    </row>
    <row r="91" spans="1:57" s="90" customFormat="1" ht="15" hidden="1" customHeight="1" x14ac:dyDescent="0.25">
      <c r="A91" s="187" t="b">
        <v>1</v>
      </c>
      <c r="B91" s="188" t="b">
        <v>1</v>
      </c>
      <c r="C91" s="179" t="e">
        <f t="shared" si="25"/>
        <v>#N/A</v>
      </c>
      <c r="E91" s="180">
        <v>2062</v>
      </c>
      <c r="F91" s="100">
        <f t="shared" si="24"/>
        <v>104</v>
      </c>
      <c r="G91" s="181">
        <f t="shared" si="26"/>
        <v>-39</v>
      </c>
      <c r="H91" s="181" t="e">
        <f t="shared" si="46"/>
        <v>#N/A</v>
      </c>
      <c r="J91" s="182">
        <v>0</v>
      </c>
      <c r="K91" s="101"/>
      <c r="L91" s="183" t="e">
        <f t="shared" si="27"/>
        <v>#N/A</v>
      </c>
      <c r="M91" s="184"/>
      <c r="N91" s="91"/>
      <c r="O91" s="91"/>
      <c r="P91" s="90">
        <v>0</v>
      </c>
      <c r="Q91" s="87">
        <v>1</v>
      </c>
      <c r="R91" s="185">
        <v>0</v>
      </c>
      <c r="S91" s="185">
        <v>0</v>
      </c>
      <c r="T91" s="185">
        <v>0</v>
      </c>
      <c r="U91" s="185">
        <v>0</v>
      </c>
      <c r="V91" s="182">
        <v>0</v>
      </c>
      <c r="W91" s="182">
        <v>0</v>
      </c>
      <c r="X91" s="182">
        <v>0</v>
      </c>
      <c r="Y91" s="182">
        <v>0</v>
      </c>
      <c r="Z91" s="182">
        <v>0</v>
      </c>
      <c r="AA91" s="182">
        <v>0</v>
      </c>
      <c r="AB91" s="182">
        <v>0</v>
      </c>
      <c r="AC91" s="182">
        <v>0</v>
      </c>
      <c r="AD91" s="182">
        <v>0</v>
      </c>
      <c r="AE91" s="182">
        <v>0</v>
      </c>
      <c r="AF91" s="182">
        <v>0</v>
      </c>
      <c r="AG91" s="182">
        <v>0</v>
      </c>
      <c r="AH91" s="182">
        <v>0</v>
      </c>
      <c r="AI91" s="182">
        <v>0</v>
      </c>
      <c r="AJ91" s="182">
        <v>0</v>
      </c>
      <c r="AL91" s="185">
        <f t="shared" si="28"/>
        <v>1</v>
      </c>
      <c r="AM91" s="185">
        <f t="shared" si="29"/>
        <v>0</v>
      </c>
      <c r="AN91" s="185">
        <f t="shared" si="30"/>
        <v>0</v>
      </c>
      <c r="AO91" s="185">
        <f t="shared" si="31"/>
        <v>0</v>
      </c>
      <c r="AP91" s="185">
        <f t="shared" si="32"/>
        <v>0</v>
      </c>
      <c r="AQ91" s="185">
        <f t="shared" si="33"/>
        <v>0</v>
      </c>
      <c r="AR91" s="185">
        <f t="shared" si="34"/>
        <v>0</v>
      </c>
      <c r="AS91" s="185">
        <f t="shared" si="35"/>
        <v>0</v>
      </c>
      <c r="AT91" s="185">
        <f t="shared" si="36"/>
        <v>0</v>
      </c>
      <c r="AU91" s="185">
        <f t="shared" si="37"/>
        <v>0</v>
      </c>
      <c r="AV91" s="185">
        <f t="shared" si="38"/>
        <v>0</v>
      </c>
      <c r="AW91" s="185">
        <f t="shared" si="39"/>
        <v>0</v>
      </c>
      <c r="AX91" s="185">
        <f t="shared" si="40"/>
        <v>0</v>
      </c>
      <c r="AY91" s="185">
        <f t="shared" si="41"/>
        <v>0</v>
      </c>
      <c r="AZ91" s="185">
        <f t="shared" si="42"/>
        <v>0</v>
      </c>
      <c r="BA91" s="185">
        <f t="shared" si="43"/>
        <v>0</v>
      </c>
      <c r="BB91" s="185">
        <f t="shared" si="44"/>
        <v>0</v>
      </c>
      <c r="BC91" s="185">
        <f t="shared" si="45"/>
        <v>0</v>
      </c>
      <c r="BD91" s="185">
        <f t="shared" si="21"/>
        <v>0</v>
      </c>
      <c r="BE91" s="185">
        <f t="shared" si="22"/>
        <v>0</v>
      </c>
    </row>
    <row r="92" spans="1:57" s="90" customFormat="1" ht="15" hidden="1" customHeight="1" x14ac:dyDescent="0.25">
      <c r="A92" s="187" t="b">
        <v>1</v>
      </c>
      <c r="B92" s="188" t="b">
        <v>1</v>
      </c>
      <c r="C92" s="179" t="e">
        <f t="shared" si="25"/>
        <v>#N/A</v>
      </c>
      <c r="E92" s="180">
        <v>2063</v>
      </c>
      <c r="F92" s="100">
        <f t="shared" si="24"/>
        <v>105</v>
      </c>
      <c r="G92" s="181">
        <f t="shared" si="26"/>
        <v>-40</v>
      </c>
      <c r="H92" s="181" t="e">
        <f t="shared" si="46"/>
        <v>#N/A</v>
      </c>
      <c r="J92" s="182">
        <v>0</v>
      </c>
      <c r="K92" s="101"/>
      <c r="L92" s="183" t="e">
        <f t="shared" si="27"/>
        <v>#N/A</v>
      </c>
      <c r="M92" s="184"/>
      <c r="N92" s="91"/>
      <c r="O92" s="91"/>
      <c r="P92" s="90">
        <v>0</v>
      </c>
      <c r="Q92" s="87">
        <v>1</v>
      </c>
      <c r="R92" s="185">
        <v>0</v>
      </c>
      <c r="S92" s="185">
        <v>0</v>
      </c>
      <c r="T92" s="185">
        <v>0</v>
      </c>
      <c r="U92" s="185">
        <v>0</v>
      </c>
      <c r="V92" s="182">
        <v>0</v>
      </c>
      <c r="W92" s="182">
        <v>0</v>
      </c>
      <c r="X92" s="182">
        <v>0</v>
      </c>
      <c r="Y92" s="182">
        <v>0</v>
      </c>
      <c r="Z92" s="182">
        <v>0</v>
      </c>
      <c r="AA92" s="182">
        <v>0</v>
      </c>
      <c r="AB92" s="182">
        <v>0</v>
      </c>
      <c r="AC92" s="182">
        <v>0</v>
      </c>
      <c r="AD92" s="182">
        <v>0</v>
      </c>
      <c r="AE92" s="182">
        <v>0</v>
      </c>
      <c r="AF92" s="182">
        <v>0</v>
      </c>
      <c r="AG92" s="182">
        <v>0</v>
      </c>
      <c r="AH92" s="182">
        <v>0</v>
      </c>
      <c r="AI92" s="182">
        <v>0</v>
      </c>
      <c r="AJ92" s="182">
        <v>0</v>
      </c>
      <c r="AL92" s="185">
        <f t="shared" si="28"/>
        <v>1</v>
      </c>
      <c r="AM92" s="185">
        <f t="shared" si="29"/>
        <v>0</v>
      </c>
      <c r="AN92" s="185">
        <f t="shared" si="30"/>
        <v>0</v>
      </c>
      <c r="AO92" s="185">
        <f t="shared" si="31"/>
        <v>0</v>
      </c>
      <c r="AP92" s="185">
        <f t="shared" si="32"/>
        <v>0</v>
      </c>
      <c r="AQ92" s="185">
        <f t="shared" si="33"/>
        <v>0</v>
      </c>
      <c r="AR92" s="185">
        <f t="shared" si="34"/>
        <v>0</v>
      </c>
      <c r="AS92" s="185">
        <f t="shared" si="35"/>
        <v>0</v>
      </c>
      <c r="AT92" s="185">
        <f t="shared" si="36"/>
        <v>0</v>
      </c>
      <c r="AU92" s="185">
        <f t="shared" si="37"/>
        <v>0</v>
      </c>
      <c r="AV92" s="185">
        <f t="shared" si="38"/>
        <v>0</v>
      </c>
      <c r="AW92" s="185">
        <f t="shared" si="39"/>
        <v>0</v>
      </c>
      <c r="AX92" s="185">
        <f t="shared" si="40"/>
        <v>0</v>
      </c>
      <c r="AY92" s="185">
        <f t="shared" si="41"/>
        <v>0</v>
      </c>
      <c r="AZ92" s="185">
        <f t="shared" si="42"/>
        <v>0</v>
      </c>
      <c r="BA92" s="185">
        <f t="shared" si="43"/>
        <v>0</v>
      </c>
      <c r="BB92" s="185">
        <f t="shared" si="44"/>
        <v>0</v>
      </c>
      <c r="BC92" s="185">
        <f t="shared" si="45"/>
        <v>0</v>
      </c>
      <c r="BD92" s="185">
        <f t="shared" si="21"/>
        <v>0</v>
      </c>
      <c r="BE92" s="185">
        <f t="shared" si="22"/>
        <v>0</v>
      </c>
    </row>
    <row r="93" spans="1:57" s="90" customFormat="1" ht="15" hidden="1" customHeight="1" x14ac:dyDescent="0.25">
      <c r="A93" s="187" t="b">
        <v>1</v>
      </c>
      <c r="B93" s="188" t="b">
        <v>1</v>
      </c>
      <c r="C93" s="179" t="e">
        <f t="shared" si="25"/>
        <v>#N/A</v>
      </c>
      <c r="E93" s="180">
        <v>2064</v>
      </c>
      <c r="F93" s="100">
        <f t="shared" si="24"/>
        <v>106</v>
      </c>
      <c r="G93" s="181">
        <f t="shared" si="26"/>
        <v>-41</v>
      </c>
      <c r="H93" s="181" t="e">
        <f t="shared" si="46"/>
        <v>#N/A</v>
      </c>
      <c r="J93" s="182">
        <v>0</v>
      </c>
      <c r="K93" s="101"/>
      <c r="L93" s="183" t="e">
        <f t="shared" si="27"/>
        <v>#N/A</v>
      </c>
      <c r="M93" s="184"/>
      <c r="N93" s="91"/>
      <c r="O93" s="91"/>
      <c r="P93" s="90">
        <v>0</v>
      </c>
      <c r="Q93" s="87">
        <v>1</v>
      </c>
      <c r="R93" s="185">
        <v>0</v>
      </c>
      <c r="S93" s="185">
        <v>0</v>
      </c>
      <c r="T93" s="185">
        <v>0</v>
      </c>
      <c r="U93" s="185">
        <v>0</v>
      </c>
      <c r="V93" s="182">
        <v>0</v>
      </c>
      <c r="W93" s="182">
        <v>0</v>
      </c>
      <c r="X93" s="182">
        <v>0</v>
      </c>
      <c r="Y93" s="182">
        <v>0</v>
      </c>
      <c r="Z93" s="182">
        <v>0</v>
      </c>
      <c r="AA93" s="182">
        <v>0</v>
      </c>
      <c r="AB93" s="182">
        <v>0</v>
      </c>
      <c r="AC93" s="182">
        <v>0</v>
      </c>
      <c r="AD93" s="182">
        <v>0</v>
      </c>
      <c r="AE93" s="182">
        <v>0</v>
      </c>
      <c r="AF93" s="182">
        <v>0</v>
      </c>
      <c r="AG93" s="182">
        <v>0</v>
      </c>
      <c r="AH93" s="182">
        <v>0</v>
      </c>
      <c r="AI93" s="182">
        <v>0</v>
      </c>
      <c r="AJ93" s="182">
        <v>0</v>
      </c>
      <c r="AL93" s="185">
        <f t="shared" si="28"/>
        <v>1</v>
      </c>
      <c r="AM93" s="185">
        <f t="shared" si="29"/>
        <v>0</v>
      </c>
      <c r="AN93" s="185">
        <f t="shared" si="30"/>
        <v>0</v>
      </c>
      <c r="AO93" s="185">
        <f t="shared" si="31"/>
        <v>0</v>
      </c>
      <c r="AP93" s="185">
        <f t="shared" si="32"/>
        <v>0</v>
      </c>
      <c r="AQ93" s="185">
        <f t="shared" si="33"/>
        <v>0</v>
      </c>
      <c r="AR93" s="185">
        <f t="shared" si="34"/>
        <v>0</v>
      </c>
      <c r="AS93" s="185">
        <f t="shared" si="35"/>
        <v>0</v>
      </c>
      <c r="AT93" s="185">
        <f t="shared" si="36"/>
        <v>0</v>
      </c>
      <c r="AU93" s="185">
        <f t="shared" si="37"/>
        <v>0</v>
      </c>
      <c r="AV93" s="185">
        <f t="shared" si="38"/>
        <v>0</v>
      </c>
      <c r="AW93" s="185">
        <f t="shared" si="39"/>
        <v>0</v>
      </c>
      <c r="AX93" s="185">
        <f t="shared" si="40"/>
        <v>0</v>
      </c>
      <c r="AY93" s="185">
        <f t="shared" si="41"/>
        <v>0</v>
      </c>
      <c r="AZ93" s="185">
        <f t="shared" si="42"/>
        <v>0</v>
      </c>
      <c r="BA93" s="185">
        <f t="shared" si="43"/>
        <v>0</v>
      </c>
      <c r="BB93" s="185">
        <f t="shared" si="44"/>
        <v>0</v>
      </c>
      <c r="BC93" s="185">
        <f t="shared" si="45"/>
        <v>0</v>
      </c>
      <c r="BD93" s="185">
        <f t="shared" si="21"/>
        <v>0</v>
      </c>
      <c r="BE93" s="185">
        <f t="shared" si="22"/>
        <v>0</v>
      </c>
    </row>
    <row r="94" spans="1:57" s="90" customFormat="1" ht="15" hidden="1" customHeight="1" x14ac:dyDescent="0.25">
      <c r="A94" s="187" t="b">
        <v>1</v>
      </c>
      <c r="B94" s="188" t="b">
        <v>1</v>
      </c>
      <c r="C94" s="179" t="e">
        <f t="shared" si="25"/>
        <v>#N/A</v>
      </c>
      <c r="E94" s="180">
        <v>2065</v>
      </c>
      <c r="F94" s="100">
        <f t="shared" si="24"/>
        <v>107</v>
      </c>
      <c r="G94" s="181">
        <f t="shared" si="26"/>
        <v>-42</v>
      </c>
      <c r="H94" s="181" t="e">
        <f t="shared" si="46"/>
        <v>#N/A</v>
      </c>
      <c r="J94" s="182">
        <v>0</v>
      </c>
      <c r="K94" s="101"/>
      <c r="L94" s="183" t="e">
        <f t="shared" si="27"/>
        <v>#N/A</v>
      </c>
      <c r="M94" s="184"/>
      <c r="N94" s="91"/>
      <c r="O94" s="91"/>
      <c r="P94" s="90">
        <v>0</v>
      </c>
      <c r="Q94" s="87">
        <v>1</v>
      </c>
      <c r="R94" s="185">
        <v>0</v>
      </c>
      <c r="S94" s="185">
        <v>0</v>
      </c>
      <c r="T94" s="185">
        <v>0</v>
      </c>
      <c r="U94" s="185">
        <v>0</v>
      </c>
      <c r="V94" s="182">
        <v>0</v>
      </c>
      <c r="W94" s="182">
        <v>0</v>
      </c>
      <c r="X94" s="182">
        <v>0</v>
      </c>
      <c r="Y94" s="182">
        <v>0</v>
      </c>
      <c r="Z94" s="182">
        <v>0</v>
      </c>
      <c r="AA94" s="182">
        <v>0</v>
      </c>
      <c r="AB94" s="182">
        <v>0</v>
      </c>
      <c r="AC94" s="182">
        <v>0</v>
      </c>
      <c r="AD94" s="182">
        <v>0</v>
      </c>
      <c r="AE94" s="182">
        <v>0</v>
      </c>
      <c r="AF94" s="182">
        <v>0</v>
      </c>
      <c r="AG94" s="182">
        <v>0</v>
      </c>
      <c r="AH94" s="182">
        <v>0</v>
      </c>
      <c r="AI94" s="182">
        <v>0</v>
      </c>
      <c r="AJ94" s="182">
        <v>0</v>
      </c>
      <c r="AL94" s="185">
        <f t="shared" si="28"/>
        <v>1</v>
      </c>
      <c r="AM94" s="185">
        <f t="shared" si="29"/>
        <v>0</v>
      </c>
      <c r="AN94" s="185">
        <f t="shared" si="30"/>
        <v>0</v>
      </c>
      <c r="AO94" s="185">
        <f t="shared" si="31"/>
        <v>0</v>
      </c>
      <c r="AP94" s="185">
        <f t="shared" si="32"/>
        <v>0</v>
      </c>
      <c r="AQ94" s="185">
        <f t="shared" si="33"/>
        <v>0</v>
      </c>
      <c r="AR94" s="185">
        <f t="shared" si="34"/>
        <v>0</v>
      </c>
      <c r="AS94" s="185">
        <f t="shared" si="35"/>
        <v>0</v>
      </c>
      <c r="AT94" s="185">
        <f t="shared" si="36"/>
        <v>0</v>
      </c>
      <c r="AU94" s="185">
        <f t="shared" si="37"/>
        <v>0</v>
      </c>
      <c r="AV94" s="185">
        <f t="shared" si="38"/>
        <v>0</v>
      </c>
      <c r="AW94" s="185">
        <f t="shared" si="39"/>
        <v>0</v>
      </c>
      <c r="AX94" s="185">
        <f t="shared" si="40"/>
        <v>0</v>
      </c>
      <c r="AY94" s="185">
        <f t="shared" si="41"/>
        <v>0</v>
      </c>
      <c r="AZ94" s="185">
        <f t="shared" si="42"/>
        <v>0</v>
      </c>
      <c r="BA94" s="185">
        <f t="shared" si="43"/>
        <v>0</v>
      </c>
      <c r="BB94" s="185">
        <f t="shared" si="44"/>
        <v>0</v>
      </c>
      <c r="BC94" s="185">
        <f t="shared" si="45"/>
        <v>0</v>
      </c>
      <c r="BD94" s="185">
        <f t="shared" si="21"/>
        <v>0</v>
      </c>
      <c r="BE94" s="185">
        <f t="shared" si="22"/>
        <v>0</v>
      </c>
    </row>
    <row r="95" spans="1:57" s="90" customFormat="1" ht="15" hidden="1" customHeight="1" x14ac:dyDescent="0.25">
      <c r="A95" s="187" t="b">
        <v>1</v>
      </c>
      <c r="B95" s="188" t="b">
        <v>1</v>
      </c>
      <c r="C95" s="179" t="e">
        <f t="shared" si="25"/>
        <v>#N/A</v>
      </c>
      <c r="E95" s="180">
        <v>2066</v>
      </c>
      <c r="F95" s="100">
        <f t="shared" si="24"/>
        <v>108</v>
      </c>
      <c r="G95" s="181">
        <f t="shared" si="26"/>
        <v>-43</v>
      </c>
      <c r="H95" s="181" t="e">
        <f t="shared" si="46"/>
        <v>#N/A</v>
      </c>
      <c r="J95" s="182">
        <v>0</v>
      </c>
      <c r="K95" s="101"/>
      <c r="L95" s="183" t="e">
        <f t="shared" si="27"/>
        <v>#N/A</v>
      </c>
      <c r="M95" s="184"/>
      <c r="N95" s="91"/>
      <c r="O95" s="91"/>
      <c r="P95" s="90">
        <v>0</v>
      </c>
      <c r="Q95" s="87">
        <v>1</v>
      </c>
      <c r="R95" s="185">
        <v>0</v>
      </c>
      <c r="S95" s="185">
        <v>0</v>
      </c>
      <c r="T95" s="185">
        <v>0</v>
      </c>
      <c r="U95" s="185">
        <v>0</v>
      </c>
      <c r="V95" s="182">
        <v>0</v>
      </c>
      <c r="W95" s="182">
        <v>0</v>
      </c>
      <c r="X95" s="182">
        <v>0</v>
      </c>
      <c r="Y95" s="182">
        <v>0</v>
      </c>
      <c r="Z95" s="182">
        <v>0</v>
      </c>
      <c r="AA95" s="182">
        <v>0</v>
      </c>
      <c r="AB95" s="182">
        <v>0</v>
      </c>
      <c r="AC95" s="182">
        <v>0</v>
      </c>
      <c r="AD95" s="182">
        <v>0</v>
      </c>
      <c r="AE95" s="182">
        <v>0</v>
      </c>
      <c r="AF95" s="182">
        <v>0</v>
      </c>
      <c r="AG95" s="182">
        <v>0</v>
      </c>
      <c r="AH95" s="182">
        <v>0</v>
      </c>
      <c r="AI95" s="182">
        <v>0</v>
      </c>
      <c r="AJ95" s="182">
        <v>0</v>
      </c>
      <c r="AL95" s="185">
        <f t="shared" si="28"/>
        <v>1</v>
      </c>
      <c r="AM95" s="185">
        <f t="shared" si="29"/>
        <v>0</v>
      </c>
      <c r="AN95" s="185">
        <f t="shared" si="30"/>
        <v>0</v>
      </c>
      <c r="AO95" s="185">
        <f t="shared" si="31"/>
        <v>0</v>
      </c>
      <c r="AP95" s="185">
        <f t="shared" si="32"/>
        <v>0</v>
      </c>
      <c r="AQ95" s="185">
        <f t="shared" si="33"/>
        <v>0</v>
      </c>
      <c r="AR95" s="185">
        <f t="shared" si="34"/>
        <v>0</v>
      </c>
      <c r="AS95" s="185">
        <f t="shared" si="35"/>
        <v>0</v>
      </c>
      <c r="AT95" s="185">
        <f t="shared" si="36"/>
        <v>0</v>
      </c>
      <c r="AU95" s="185">
        <f t="shared" si="37"/>
        <v>0</v>
      </c>
      <c r="AV95" s="185">
        <f t="shared" si="38"/>
        <v>0</v>
      </c>
      <c r="AW95" s="185">
        <f t="shared" si="39"/>
        <v>0</v>
      </c>
      <c r="AX95" s="185">
        <f t="shared" si="40"/>
        <v>0</v>
      </c>
      <c r="AY95" s="185">
        <f t="shared" si="41"/>
        <v>0</v>
      </c>
      <c r="AZ95" s="185">
        <f t="shared" si="42"/>
        <v>0</v>
      </c>
      <c r="BA95" s="185">
        <f t="shared" si="43"/>
        <v>0</v>
      </c>
      <c r="BB95" s="185">
        <f t="shared" si="44"/>
        <v>0</v>
      </c>
      <c r="BC95" s="185">
        <f t="shared" si="45"/>
        <v>0</v>
      </c>
      <c r="BD95" s="185">
        <f t="shared" si="21"/>
        <v>0</v>
      </c>
      <c r="BE95" s="185">
        <f t="shared" si="22"/>
        <v>0</v>
      </c>
    </row>
    <row r="96" spans="1:57" s="90" customFormat="1" ht="15" hidden="1" customHeight="1" x14ac:dyDescent="0.25">
      <c r="A96" s="187" t="b">
        <v>1</v>
      </c>
      <c r="B96" s="188" t="b">
        <v>1</v>
      </c>
      <c r="C96" s="179" t="e">
        <f t="shared" si="25"/>
        <v>#N/A</v>
      </c>
      <c r="E96" s="180">
        <v>2067</v>
      </c>
      <c r="F96" s="100">
        <f t="shared" si="24"/>
        <v>109</v>
      </c>
      <c r="G96" s="181">
        <f t="shared" si="26"/>
        <v>-44</v>
      </c>
      <c r="H96" s="181" t="e">
        <f t="shared" si="46"/>
        <v>#N/A</v>
      </c>
      <c r="J96" s="182">
        <v>0</v>
      </c>
      <c r="K96" s="101"/>
      <c r="L96" s="183" t="e">
        <f t="shared" si="27"/>
        <v>#N/A</v>
      </c>
      <c r="M96" s="184"/>
      <c r="N96" s="91"/>
      <c r="O96" s="91"/>
      <c r="P96" s="90">
        <v>0</v>
      </c>
      <c r="Q96" s="87">
        <v>1</v>
      </c>
      <c r="R96" s="185">
        <v>0</v>
      </c>
      <c r="S96" s="185">
        <v>0</v>
      </c>
      <c r="T96" s="185">
        <v>0</v>
      </c>
      <c r="U96" s="185">
        <v>0</v>
      </c>
      <c r="V96" s="182">
        <v>0</v>
      </c>
      <c r="W96" s="182">
        <v>0</v>
      </c>
      <c r="X96" s="182">
        <v>0</v>
      </c>
      <c r="Y96" s="182">
        <v>0</v>
      </c>
      <c r="Z96" s="182">
        <v>0</v>
      </c>
      <c r="AA96" s="182">
        <v>0</v>
      </c>
      <c r="AB96" s="182">
        <v>0</v>
      </c>
      <c r="AC96" s="182">
        <v>0</v>
      </c>
      <c r="AD96" s="182">
        <v>0</v>
      </c>
      <c r="AE96" s="182">
        <v>0</v>
      </c>
      <c r="AF96" s="182">
        <v>0</v>
      </c>
      <c r="AG96" s="182">
        <v>0</v>
      </c>
      <c r="AH96" s="182">
        <v>0</v>
      </c>
      <c r="AI96" s="182">
        <v>0</v>
      </c>
      <c r="AJ96" s="182">
        <v>0</v>
      </c>
      <c r="AL96" s="185">
        <f t="shared" si="28"/>
        <v>1</v>
      </c>
      <c r="AM96" s="185">
        <f t="shared" si="29"/>
        <v>0</v>
      </c>
      <c r="AN96" s="185">
        <f t="shared" si="30"/>
        <v>0</v>
      </c>
      <c r="AO96" s="185">
        <f t="shared" si="31"/>
        <v>0</v>
      </c>
      <c r="AP96" s="185">
        <f t="shared" si="32"/>
        <v>0</v>
      </c>
      <c r="AQ96" s="185">
        <f t="shared" si="33"/>
        <v>0</v>
      </c>
      <c r="AR96" s="185">
        <f t="shared" si="34"/>
        <v>0</v>
      </c>
      <c r="AS96" s="185">
        <f t="shared" si="35"/>
        <v>0</v>
      </c>
      <c r="AT96" s="185">
        <f t="shared" si="36"/>
        <v>0</v>
      </c>
      <c r="AU96" s="185">
        <f t="shared" si="37"/>
        <v>0</v>
      </c>
      <c r="AV96" s="185">
        <f t="shared" si="38"/>
        <v>0</v>
      </c>
      <c r="AW96" s="185">
        <f t="shared" si="39"/>
        <v>0</v>
      </c>
      <c r="AX96" s="185">
        <f t="shared" si="40"/>
        <v>0</v>
      </c>
      <c r="AY96" s="185">
        <f t="shared" si="41"/>
        <v>0</v>
      </c>
      <c r="AZ96" s="185">
        <f t="shared" si="42"/>
        <v>0</v>
      </c>
      <c r="BA96" s="185">
        <f t="shared" si="43"/>
        <v>0</v>
      </c>
      <c r="BB96" s="185">
        <f t="shared" si="44"/>
        <v>0</v>
      </c>
      <c r="BC96" s="185">
        <f t="shared" si="45"/>
        <v>0</v>
      </c>
      <c r="BD96" s="185">
        <f t="shared" si="21"/>
        <v>0</v>
      </c>
      <c r="BE96" s="185">
        <f t="shared" si="22"/>
        <v>0</v>
      </c>
    </row>
    <row r="97" spans="1:57" s="90" customFormat="1" ht="15" hidden="1" customHeight="1" x14ac:dyDescent="0.25">
      <c r="A97" s="187" t="b">
        <v>1</v>
      </c>
      <c r="B97" s="188" t="b">
        <v>1</v>
      </c>
      <c r="C97" s="179" t="e">
        <f t="shared" si="25"/>
        <v>#N/A</v>
      </c>
      <c r="E97" s="180">
        <v>2068</v>
      </c>
      <c r="F97" s="100">
        <f t="shared" si="24"/>
        <v>110</v>
      </c>
      <c r="G97" s="181">
        <f t="shared" si="26"/>
        <v>-45</v>
      </c>
      <c r="H97" s="181" t="e">
        <f t="shared" si="46"/>
        <v>#N/A</v>
      </c>
      <c r="J97" s="182">
        <v>0</v>
      </c>
      <c r="K97" s="101"/>
      <c r="L97" s="183" t="e">
        <f t="shared" si="27"/>
        <v>#N/A</v>
      </c>
      <c r="M97" s="184"/>
      <c r="N97" s="91"/>
      <c r="O97" s="91"/>
      <c r="P97" s="90">
        <v>0</v>
      </c>
      <c r="Q97" s="87">
        <v>1</v>
      </c>
      <c r="R97" s="185">
        <v>0</v>
      </c>
      <c r="S97" s="185">
        <v>0</v>
      </c>
      <c r="T97" s="185">
        <v>0</v>
      </c>
      <c r="U97" s="185">
        <v>0</v>
      </c>
      <c r="V97" s="182">
        <v>0</v>
      </c>
      <c r="W97" s="182">
        <v>0</v>
      </c>
      <c r="X97" s="182">
        <v>0</v>
      </c>
      <c r="Y97" s="182">
        <v>0</v>
      </c>
      <c r="Z97" s="182">
        <v>0</v>
      </c>
      <c r="AA97" s="182">
        <v>0</v>
      </c>
      <c r="AB97" s="182">
        <v>0</v>
      </c>
      <c r="AC97" s="182">
        <v>0</v>
      </c>
      <c r="AD97" s="182">
        <v>0</v>
      </c>
      <c r="AE97" s="182">
        <v>0</v>
      </c>
      <c r="AF97" s="182">
        <v>0</v>
      </c>
      <c r="AG97" s="182">
        <v>0</v>
      </c>
      <c r="AH97" s="182">
        <v>0</v>
      </c>
      <c r="AI97" s="182">
        <v>0</v>
      </c>
      <c r="AJ97" s="182">
        <v>0</v>
      </c>
      <c r="AL97" s="185">
        <f t="shared" si="28"/>
        <v>1</v>
      </c>
      <c r="AM97" s="185">
        <f t="shared" si="29"/>
        <v>0</v>
      </c>
      <c r="AN97" s="185">
        <f t="shared" si="30"/>
        <v>0</v>
      </c>
      <c r="AO97" s="185">
        <f t="shared" si="31"/>
        <v>0</v>
      </c>
      <c r="AP97" s="185">
        <f t="shared" si="32"/>
        <v>0</v>
      </c>
      <c r="AQ97" s="185">
        <f t="shared" si="33"/>
        <v>0</v>
      </c>
      <c r="AR97" s="185">
        <f t="shared" si="34"/>
        <v>0</v>
      </c>
      <c r="AS97" s="185">
        <f t="shared" si="35"/>
        <v>0</v>
      </c>
      <c r="AT97" s="185">
        <f t="shared" si="36"/>
        <v>0</v>
      </c>
      <c r="AU97" s="185">
        <f t="shared" si="37"/>
        <v>0</v>
      </c>
      <c r="AV97" s="185">
        <f t="shared" si="38"/>
        <v>0</v>
      </c>
      <c r="AW97" s="185">
        <f t="shared" si="39"/>
        <v>0</v>
      </c>
      <c r="AX97" s="185">
        <f t="shared" si="40"/>
        <v>0</v>
      </c>
      <c r="AY97" s="185">
        <f t="shared" si="41"/>
        <v>0</v>
      </c>
      <c r="AZ97" s="185">
        <f t="shared" si="42"/>
        <v>0</v>
      </c>
      <c r="BA97" s="185">
        <f t="shared" si="43"/>
        <v>0</v>
      </c>
      <c r="BB97" s="185">
        <f t="shared" si="44"/>
        <v>0</v>
      </c>
      <c r="BC97" s="185">
        <f t="shared" si="45"/>
        <v>0</v>
      </c>
      <c r="BD97" s="185">
        <f t="shared" si="21"/>
        <v>0</v>
      </c>
      <c r="BE97" s="185">
        <f t="shared" si="22"/>
        <v>0</v>
      </c>
    </row>
    <row r="98" spans="1:57" s="90" customFormat="1" ht="15" hidden="1" customHeight="1" x14ac:dyDescent="0.25">
      <c r="A98" s="187" t="b">
        <v>1</v>
      </c>
      <c r="B98" s="188" t="b">
        <v>1</v>
      </c>
      <c r="C98" s="179" t="e">
        <f t="shared" si="25"/>
        <v>#N/A</v>
      </c>
      <c r="E98" s="180">
        <v>2069</v>
      </c>
      <c r="F98" s="100">
        <f t="shared" si="24"/>
        <v>111</v>
      </c>
      <c r="G98" s="181">
        <f t="shared" si="26"/>
        <v>-46</v>
      </c>
      <c r="H98" s="181" t="e">
        <f t="shared" si="46"/>
        <v>#N/A</v>
      </c>
      <c r="J98" s="182">
        <v>0</v>
      </c>
      <c r="K98" s="101"/>
      <c r="L98" s="183" t="e">
        <f t="shared" si="27"/>
        <v>#N/A</v>
      </c>
      <c r="M98" s="184"/>
      <c r="N98" s="91"/>
      <c r="O98" s="91"/>
      <c r="P98" s="90">
        <v>0</v>
      </c>
      <c r="Q98" s="87">
        <v>1</v>
      </c>
      <c r="R98" s="185">
        <v>0</v>
      </c>
      <c r="S98" s="185">
        <v>0</v>
      </c>
      <c r="T98" s="185">
        <v>0</v>
      </c>
      <c r="U98" s="185">
        <v>0</v>
      </c>
      <c r="V98" s="182">
        <v>0</v>
      </c>
      <c r="W98" s="182">
        <v>0</v>
      </c>
      <c r="X98" s="182">
        <v>0</v>
      </c>
      <c r="Y98" s="182">
        <v>0</v>
      </c>
      <c r="Z98" s="182">
        <v>0</v>
      </c>
      <c r="AA98" s="182">
        <v>0</v>
      </c>
      <c r="AB98" s="182">
        <v>0</v>
      </c>
      <c r="AC98" s="182">
        <v>0</v>
      </c>
      <c r="AD98" s="182">
        <v>0</v>
      </c>
      <c r="AE98" s="182">
        <v>0</v>
      </c>
      <c r="AF98" s="182">
        <v>0</v>
      </c>
      <c r="AG98" s="182">
        <v>0</v>
      </c>
      <c r="AH98" s="182">
        <v>0</v>
      </c>
      <c r="AI98" s="182">
        <v>0</v>
      </c>
      <c r="AJ98" s="182">
        <v>0</v>
      </c>
      <c r="AL98" s="185">
        <f t="shared" si="28"/>
        <v>1</v>
      </c>
      <c r="AM98" s="185">
        <f t="shared" si="29"/>
        <v>0</v>
      </c>
      <c r="AN98" s="185">
        <f t="shared" si="30"/>
        <v>0</v>
      </c>
      <c r="AO98" s="185">
        <f t="shared" si="31"/>
        <v>0</v>
      </c>
      <c r="AP98" s="185">
        <f t="shared" si="32"/>
        <v>0</v>
      </c>
      <c r="AQ98" s="185">
        <f t="shared" si="33"/>
        <v>0</v>
      </c>
      <c r="AR98" s="185">
        <f t="shared" si="34"/>
        <v>0</v>
      </c>
      <c r="AS98" s="185">
        <f t="shared" si="35"/>
        <v>0</v>
      </c>
      <c r="AT98" s="185">
        <f t="shared" si="36"/>
        <v>0</v>
      </c>
      <c r="AU98" s="185">
        <f t="shared" si="37"/>
        <v>0</v>
      </c>
      <c r="AV98" s="185">
        <f t="shared" si="38"/>
        <v>0</v>
      </c>
      <c r="AW98" s="185">
        <f t="shared" si="39"/>
        <v>0</v>
      </c>
      <c r="AX98" s="185">
        <f t="shared" si="40"/>
        <v>0</v>
      </c>
      <c r="AY98" s="185">
        <f t="shared" si="41"/>
        <v>0</v>
      </c>
      <c r="AZ98" s="185">
        <f t="shared" si="42"/>
        <v>0</v>
      </c>
      <c r="BA98" s="185">
        <f t="shared" si="43"/>
        <v>0</v>
      </c>
      <c r="BB98" s="185">
        <f t="shared" si="44"/>
        <v>0</v>
      </c>
      <c r="BC98" s="185">
        <f t="shared" si="45"/>
        <v>0</v>
      </c>
      <c r="BD98" s="185">
        <f t="shared" si="21"/>
        <v>0</v>
      </c>
      <c r="BE98" s="185">
        <f t="shared" si="22"/>
        <v>0</v>
      </c>
    </row>
    <row r="99" spans="1:57" s="90" customFormat="1" ht="15" hidden="1" customHeight="1" x14ac:dyDescent="0.25">
      <c r="A99" s="187" t="b">
        <v>1</v>
      </c>
      <c r="B99" s="188" t="b">
        <v>1</v>
      </c>
      <c r="C99" s="179" t="e">
        <f t="shared" si="25"/>
        <v>#N/A</v>
      </c>
      <c r="E99" s="180">
        <v>2070</v>
      </c>
      <c r="F99" s="100">
        <f t="shared" si="24"/>
        <v>112</v>
      </c>
      <c r="G99" s="181">
        <f t="shared" si="26"/>
        <v>-47</v>
      </c>
      <c r="H99" s="181" t="e">
        <f t="shared" si="46"/>
        <v>#N/A</v>
      </c>
      <c r="J99" s="182">
        <v>0</v>
      </c>
      <c r="K99" s="101"/>
      <c r="L99" s="183" t="e">
        <f t="shared" si="27"/>
        <v>#N/A</v>
      </c>
      <c r="M99" s="184"/>
      <c r="N99" s="91"/>
      <c r="O99" s="91"/>
      <c r="P99" s="90">
        <v>0</v>
      </c>
      <c r="Q99" s="87">
        <v>1</v>
      </c>
      <c r="R99" s="185">
        <v>0</v>
      </c>
      <c r="S99" s="185">
        <v>0</v>
      </c>
      <c r="T99" s="185">
        <v>0</v>
      </c>
      <c r="U99" s="185">
        <v>0</v>
      </c>
      <c r="V99" s="182">
        <v>0</v>
      </c>
      <c r="W99" s="182">
        <v>0</v>
      </c>
      <c r="X99" s="182">
        <v>0</v>
      </c>
      <c r="Y99" s="182">
        <v>0</v>
      </c>
      <c r="Z99" s="182">
        <v>0</v>
      </c>
      <c r="AA99" s="182">
        <v>0</v>
      </c>
      <c r="AB99" s="182">
        <v>0</v>
      </c>
      <c r="AC99" s="182">
        <v>0</v>
      </c>
      <c r="AD99" s="182">
        <v>0</v>
      </c>
      <c r="AE99" s="182">
        <v>0</v>
      </c>
      <c r="AF99" s="182">
        <v>0</v>
      </c>
      <c r="AG99" s="182">
        <v>0</v>
      </c>
      <c r="AH99" s="182">
        <v>0</v>
      </c>
      <c r="AI99" s="182">
        <v>0</v>
      </c>
      <c r="AJ99" s="182">
        <v>0</v>
      </c>
      <c r="AL99" s="185">
        <f t="shared" si="28"/>
        <v>1</v>
      </c>
      <c r="AM99" s="185">
        <f t="shared" si="29"/>
        <v>0</v>
      </c>
      <c r="AN99" s="185">
        <f t="shared" si="30"/>
        <v>0</v>
      </c>
      <c r="AO99" s="185">
        <f t="shared" si="31"/>
        <v>0</v>
      </c>
      <c r="AP99" s="185">
        <f t="shared" si="32"/>
        <v>0</v>
      </c>
      <c r="AQ99" s="185">
        <f t="shared" si="33"/>
        <v>0</v>
      </c>
      <c r="AR99" s="185">
        <f t="shared" si="34"/>
        <v>0</v>
      </c>
      <c r="AS99" s="185">
        <f t="shared" si="35"/>
        <v>0</v>
      </c>
      <c r="AT99" s="185">
        <f t="shared" si="36"/>
        <v>0</v>
      </c>
      <c r="AU99" s="185">
        <f t="shared" si="37"/>
        <v>0</v>
      </c>
      <c r="AV99" s="185">
        <f t="shared" si="38"/>
        <v>0</v>
      </c>
      <c r="AW99" s="185">
        <f t="shared" si="39"/>
        <v>0</v>
      </c>
      <c r="AX99" s="185">
        <f t="shared" si="40"/>
        <v>0</v>
      </c>
      <c r="AY99" s="185">
        <f t="shared" si="41"/>
        <v>0</v>
      </c>
      <c r="AZ99" s="185">
        <f t="shared" si="42"/>
        <v>0</v>
      </c>
      <c r="BA99" s="185">
        <f t="shared" si="43"/>
        <v>0</v>
      </c>
      <c r="BB99" s="185">
        <f t="shared" si="44"/>
        <v>0</v>
      </c>
      <c r="BC99" s="185">
        <f t="shared" si="45"/>
        <v>0</v>
      </c>
      <c r="BD99" s="185">
        <f t="shared" si="21"/>
        <v>0</v>
      </c>
      <c r="BE99" s="185">
        <f t="shared" si="22"/>
        <v>0</v>
      </c>
    </row>
    <row r="100" spans="1:57" s="90" customFormat="1" ht="15" hidden="1" customHeight="1" x14ac:dyDescent="0.25">
      <c r="A100" s="187" t="b">
        <v>1</v>
      </c>
      <c r="B100" s="188" t="b">
        <v>1</v>
      </c>
      <c r="C100" s="179" t="e">
        <f t="shared" si="25"/>
        <v>#N/A</v>
      </c>
      <c r="E100" s="180">
        <v>2071</v>
      </c>
      <c r="F100" s="100">
        <f t="shared" si="24"/>
        <v>113</v>
      </c>
      <c r="G100" s="181">
        <f t="shared" si="26"/>
        <v>-48</v>
      </c>
      <c r="H100" s="181" t="e">
        <f t="shared" si="46"/>
        <v>#N/A</v>
      </c>
      <c r="J100" s="182">
        <v>0</v>
      </c>
      <c r="K100" s="101"/>
      <c r="L100" s="183" t="e">
        <f t="shared" si="27"/>
        <v>#N/A</v>
      </c>
      <c r="M100" s="184"/>
      <c r="N100" s="91"/>
      <c r="O100" s="91"/>
      <c r="P100" s="90">
        <v>0</v>
      </c>
      <c r="Q100" s="87">
        <v>1</v>
      </c>
      <c r="R100" s="185">
        <v>0</v>
      </c>
      <c r="S100" s="185">
        <v>0</v>
      </c>
      <c r="T100" s="185">
        <v>0</v>
      </c>
      <c r="U100" s="185">
        <v>0</v>
      </c>
      <c r="V100" s="182">
        <v>0</v>
      </c>
      <c r="W100" s="182">
        <v>0</v>
      </c>
      <c r="X100" s="182">
        <v>0</v>
      </c>
      <c r="Y100" s="182">
        <v>0</v>
      </c>
      <c r="Z100" s="182">
        <v>0</v>
      </c>
      <c r="AA100" s="182">
        <v>0</v>
      </c>
      <c r="AB100" s="182">
        <v>0</v>
      </c>
      <c r="AC100" s="182">
        <v>0</v>
      </c>
      <c r="AD100" s="182">
        <v>0</v>
      </c>
      <c r="AE100" s="182">
        <v>0</v>
      </c>
      <c r="AF100" s="182">
        <v>0</v>
      </c>
      <c r="AG100" s="182">
        <v>0</v>
      </c>
      <c r="AH100" s="182">
        <v>0</v>
      </c>
      <c r="AI100" s="182">
        <v>0</v>
      </c>
      <c r="AJ100" s="182">
        <v>0</v>
      </c>
      <c r="AL100" s="185">
        <f t="shared" si="28"/>
        <v>1</v>
      </c>
      <c r="AM100" s="185">
        <f t="shared" si="29"/>
        <v>0</v>
      </c>
      <c r="AN100" s="185">
        <f t="shared" si="30"/>
        <v>0</v>
      </c>
      <c r="AO100" s="185">
        <f t="shared" si="31"/>
        <v>0</v>
      </c>
      <c r="AP100" s="185">
        <f t="shared" si="32"/>
        <v>0</v>
      </c>
      <c r="AQ100" s="185">
        <f t="shared" si="33"/>
        <v>0</v>
      </c>
      <c r="AR100" s="185">
        <f t="shared" si="34"/>
        <v>0</v>
      </c>
      <c r="AS100" s="185">
        <f t="shared" si="35"/>
        <v>0</v>
      </c>
      <c r="AT100" s="185">
        <f t="shared" si="36"/>
        <v>0</v>
      </c>
      <c r="AU100" s="185">
        <f t="shared" si="37"/>
        <v>0</v>
      </c>
      <c r="AV100" s="185">
        <f t="shared" si="38"/>
        <v>0</v>
      </c>
      <c r="AW100" s="185">
        <f t="shared" si="39"/>
        <v>0</v>
      </c>
      <c r="AX100" s="185">
        <f t="shared" si="40"/>
        <v>0</v>
      </c>
      <c r="AY100" s="185">
        <f t="shared" si="41"/>
        <v>0</v>
      </c>
      <c r="AZ100" s="185">
        <f t="shared" si="42"/>
        <v>0</v>
      </c>
      <c r="BA100" s="185">
        <f t="shared" si="43"/>
        <v>0</v>
      </c>
      <c r="BB100" s="185">
        <f t="shared" si="44"/>
        <v>0</v>
      </c>
      <c r="BC100" s="185">
        <f t="shared" si="45"/>
        <v>0</v>
      </c>
      <c r="BD100" s="185">
        <f t="shared" si="21"/>
        <v>0</v>
      </c>
      <c r="BE100" s="185">
        <f t="shared" si="22"/>
        <v>0</v>
      </c>
    </row>
    <row r="101" spans="1:57" s="90" customFormat="1" ht="15" hidden="1" customHeight="1" x14ac:dyDescent="0.25">
      <c r="A101" s="187" t="b">
        <v>1</v>
      </c>
      <c r="B101" s="188" t="b">
        <v>1</v>
      </c>
      <c r="C101" s="179" t="e">
        <f t="shared" si="25"/>
        <v>#N/A</v>
      </c>
      <c r="E101" s="180">
        <v>2072</v>
      </c>
      <c r="F101" s="100">
        <f t="shared" si="24"/>
        <v>114</v>
      </c>
      <c r="G101" s="181">
        <f t="shared" si="26"/>
        <v>-49</v>
      </c>
      <c r="H101" s="181" t="e">
        <f t="shared" si="46"/>
        <v>#N/A</v>
      </c>
      <c r="J101" s="182">
        <v>0</v>
      </c>
      <c r="K101" s="101"/>
      <c r="L101" s="183" t="e">
        <f t="shared" si="27"/>
        <v>#N/A</v>
      </c>
      <c r="M101" s="184"/>
      <c r="N101" s="91"/>
      <c r="O101" s="91"/>
      <c r="P101" s="90">
        <v>0</v>
      </c>
      <c r="Q101" s="87">
        <v>1</v>
      </c>
      <c r="R101" s="185">
        <v>0</v>
      </c>
      <c r="S101" s="185">
        <v>0</v>
      </c>
      <c r="T101" s="185">
        <v>0</v>
      </c>
      <c r="U101" s="185">
        <v>0</v>
      </c>
      <c r="V101" s="182">
        <v>0</v>
      </c>
      <c r="W101" s="182">
        <v>0</v>
      </c>
      <c r="X101" s="182">
        <v>0</v>
      </c>
      <c r="Y101" s="182">
        <v>0</v>
      </c>
      <c r="Z101" s="182">
        <v>0</v>
      </c>
      <c r="AA101" s="182">
        <v>0</v>
      </c>
      <c r="AB101" s="182">
        <v>0</v>
      </c>
      <c r="AC101" s="182">
        <v>0</v>
      </c>
      <c r="AD101" s="182">
        <v>0</v>
      </c>
      <c r="AE101" s="182">
        <v>0</v>
      </c>
      <c r="AF101" s="182">
        <v>0</v>
      </c>
      <c r="AG101" s="182">
        <v>0</v>
      </c>
      <c r="AH101" s="182">
        <v>0</v>
      </c>
      <c r="AI101" s="182">
        <v>0</v>
      </c>
      <c r="AJ101" s="182">
        <v>0</v>
      </c>
      <c r="AL101" s="185">
        <f t="shared" si="28"/>
        <v>1</v>
      </c>
      <c r="AM101" s="185">
        <f t="shared" si="29"/>
        <v>0</v>
      </c>
      <c r="AN101" s="185">
        <f t="shared" si="30"/>
        <v>0</v>
      </c>
      <c r="AO101" s="185">
        <f t="shared" si="31"/>
        <v>0</v>
      </c>
      <c r="AP101" s="185">
        <f t="shared" si="32"/>
        <v>0</v>
      </c>
      <c r="AQ101" s="185">
        <f t="shared" si="33"/>
        <v>0</v>
      </c>
      <c r="AR101" s="185">
        <f t="shared" si="34"/>
        <v>0</v>
      </c>
      <c r="AS101" s="185">
        <f t="shared" si="35"/>
        <v>0</v>
      </c>
      <c r="AT101" s="185">
        <f t="shared" si="36"/>
        <v>0</v>
      </c>
      <c r="AU101" s="185">
        <f t="shared" si="37"/>
        <v>0</v>
      </c>
      <c r="AV101" s="185">
        <f t="shared" si="38"/>
        <v>0</v>
      </c>
      <c r="AW101" s="185">
        <f t="shared" si="39"/>
        <v>0</v>
      </c>
      <c r="AX101" s="185">
        <f t="shared" si="40"/>
        <v>0</v>
      </c>
      <c r="AY101" s="185">
        <f t="shared" si="41"/>
        <v>0</v>
      </c>
      <c r="AZ101" s="185">
        <f t="shared" si="42"/>
        <v>0</v>
      </c>
      <c r="BA101" s="185">
        <f t="shared" si="43"/>
        <v>0</v>
      </c>
      <c r="BB101" s="185">
        <f t="shared" si="44"/>
        <v>0</v>
      </c>
      <c r="BC101" s="185">
        <f t="shared" si="45"/>
        <v>0</v>
      </c>
      <c r="BD101" s="185">
        <f t="shared" si="21"/>
        <v>0</v>
      </c>
      <c r="BE101" s="185">
        <f t="shared" si="22"/>
        <v>0</v>
      </c>
    </row>
    <row r="102" spans="1:57" s="90" customFormat="1" ht="15" hidden="1" customHeight="1" x14ac:dyDescent="0.25">
      <c r="A102" s="187" t="b">
        <v>1</v>
      </c>
      <c r="B102" s="188" t="b">
        <v>1</v>
      </c>
      <c r="C102" s="179" t="e">
        <f t="shared" si="25"/>
        <v>#N/A</v>
      </c>
      <c r="E102" s="180">
        <v>2073</v>
      </c>
      <c r="F102" s="100">
        <f t="shared" si="24"/>
        <v>115</v>
      </c>
      <c r="G102" s="181">
        <f t="shared" si="26"/>
        <v>-50</v>
      </c>
      <c r="H102" s="181" t="e">
        <f t="shared" si="46"/>
        <v>#N/A</v>
      </c>
      <c r="J102" s="182">
        <v>0</v>
      </c>
      <c r="K102" s="101"/>
      <c r="L102" s="183" t="e">
        <f t="shared" si="27"/>
        <v>#N/A</v>
      </c>
      <c r="M102" s="184"/>
      <c r="N102" s="91"/>
      <c r="O102" s="91"/>
      <c r="P102" s="90">
        <v>0</v>
      </c>
      <c r="Q102" s="87">
        <v>1</v>
      </c>
      <c r="R102" s="185">
        <v>0</v>
      </c>
      <c r="S102" s="185">
        <v>0</v>
      </c>
      <c r="T102" s="185">
        <v>0</v>
      </c>
      <c r="U102" s="185">
        <v>0</v>
      </c>
      <c r="V102" s="182">
        <v>0</v>
      </c>
      <c r="W102" s="182">
        <v>0</v>
      </c>
      <c r="X102" s="182">
        <v>0</v>
      </c>
      <c r="Y102" s="182">
        <v>0</v>
      </c>
      <c r="Z102" s="182">
        <v>0</v>
      </c>
      <c r="AA102" s="182">
        <v>0</v>
      </c>
      <c r="AB102" s="182">
        <v>0</v>
      </c>
      <c r="AC102" s="182">
        <v>0</v>
      </c>
      <c r="AD102" s="182">
        <v>0</v>
      </c>
      <c r="AE102" s="182">
        <v>0</v>
      </c>
      <c r="AF102" s="182">
        <v>0</v>
      </c>
      <c r="AG102" s="182">
        <v>0</v>
      </c>
      <c r="AH102" s="182">
        <v>0</v>
      </c>
      <c r="AI102" s="182">
        <v>0</v>
      </c>
      <c r="AJ102" s="182">
        <v>0</v>
      </c>
      <c r="AL102" s="185">
        <f t="shared" si="28"/>
        <v>1</v>
      </c>
      <c r="AM102" s="185">
        <f t="shared" si="29"/>
        <v>0</v>
      </c>
      <c r="AN102" s="185">
        <f t="shared" si="30"/>
        <v>0</v>
      </c>
      <c r="AO102" s="185">
        <f t="shared" si="31"/>
        <v>0</v>
      </c>
      <c r="AP102" s="185">
        <f t="shared" si="32"/>
        <v>0</v>
      </c>
      <c r="AQ102" s="185">
        <f t="shared" si="33"/>
        <v>0</v>
      </c>
      <c r="AR102" s="185">
        <f t="shared" si="34"/>
        <v>0</v>
      </c>
      <c r="AS102" s="185">
        <f t="shared" si="35"/>
        <v>0</v>
      </c>
      <c r="AT102" s="185">
        <f t="shared" si="36"/>
        <v>0</v>
      </c>
      <c r="AU102" s="185">
        <f t="shared" si="37"/>
        <v>0</v>
      </c>
      <c r="AV102" s="185">
        <f t="shared" si="38"/>
        <v>0</v>
      </c>
      <c r="AW102" s="185">
        <f t="shared" si="39"/>
        <v>0</v>
      </c>
      <c r="AX102" s="185">
        <f t="shared" si="40"/>
        <v>0</v>
      </c>
      <c r="AY102" s="185">
        <f t="shared" si="41"/>
        <v>0</v>
      </c>
      <c r="AZ102" s="185">
        <f t="shared" si="42"/>
        <v>0</v>
      </c>
      <c r="BA102" s="185">
        <f t="shared" si="43"/>
        <v>0</v>
      </c>
      <c r="BB102" s="185">
        <f t="shared" si="44"/>
        <v>0</v>
      </c>
      <c r="BC102" s="185">
        <f t="shared" si="45"/>
        <v>0</v>
      </c>
      <c r="BD102" s="185">
        <f t="shared" si="21"/>
        <v>0</v>
      </c>
      <c r="BE102" s="185">
        <f t="shared" si="22"/>
        <v>0</v>
      </c>
    </row>
    <row r="103" spans="1:57" s="90" customFormat="1" ht="15" hidden="1" customHeight="1" x14ac:dyDescent="0.25">
      <c r="A103" s="187" t="b">
        <v>1</v>
      </c>
      <c r="B103" s="188" t="b">
        <v>1</v>
      </c>
      <c r="C103" s="179" t="e">
        <f t="shared" si="25"/>
        <v>#N/A</v>
      </c>
      <c r="E103" s="180">
        <v>2074</v>
      </c>
      <c r="F103" s="100">
        <f t="shared" si="24"/>
        <v>116</v>
      </c>
      <c r="G103" s="181">
        <f t="shared" si="26"/>
        <v>-51</v>
      </c>
      <c r="H103" s="181" t="e">
        <f t="shared" si="46"/>
        <v>#N/A</v>
      </c>
      <c r="J103" s="182">
        <v>0</v>
      </c>
      <c r="K103" s="101"/>
      <c r="L103" s="183" t="e">
        <f t="shared" si="27"/>
        <v>#N/A</v>
      </c>
      <c r="M103" s="184"/>
      <c r="N103" s="91"/>
      <c r="O103" s="91"/>
      <c r="P103" s="90">
        <v>0</v>
      </c>
      <c r="Q103" s="87">
        <v>1</v>
      </c>
      <c r="R103" s="185">
        <v>0</v>
      </c>
      <c r="S103" s="185">
        <v>0</v>
      </c>
      <c r="T103" s="185">
        <v>0</v>
      </c>
      <c r="U103" s="185">
        <v>0</v>
      </c>
      <c r="V103" s="182">
        <v>0</v>
      </c>
      <c r="W103" s="182">
        <v>0</v>
      </c>
      <c r="X103" s="182">
        <v>0</v>
      </c>
      <c r="Y103" s="182">
        <v>0</v>
      </c>
      <c r="Z103" s="182">
        <v>0</v>
      </c>
      <c r="AA103" s="182">
        <v>0</v>
      </c>
      <c r="AB103" s="182">
        <v>0</v>
      </c>
      <c r="AC103" s="182">
        <v>0</v>
      </c>
      <c r="AD103" s="182">
        <v>0</v>
      </c>
      <c r="AE103" s="182">
        <v>0</v>
      </c>
      <c r="AF103" s="182">
        <v>0</v>
      </c>
      <c r="AG103" s="182">
        <v>0</v>
      </c>
      <c r="AH103" s="182">
        <v>0</v>
      </c>
      <c r="AI103" s="182">
        <v>0</v>
      </c>
      <c r="AJ103" s="182">
        <v>0</v>
      </c>
      <c r="AL103" s="185">
        <f t="shared" si="28"/>
        <v>1</v>
      </c>
      <c r="AM103" s="185">
        <f t="shared" si="29"/>
        <v>0</v>
      </c>
      <c r="AN103" s="185">
        <f t="shared" si="30"/>
        <v>0</v>
      </c>
      <c r="AO103" s="185">
        <f t="shared" si="31"/>
        <v>0</v>
      </c>
      <c r="AP103" s="185">
        <f t="shared" si="32"/>
        <v>0</v>
      </c>
      <c r="AQ103" s="185">
        <f t="shared" si="33"/>
        <v>0</v>
      </c>
      <c r="AR103" s="185">
        <f t="shared" si="34"/>
        <v>0</v>
      </c>
      <c r="AS103" s="185">
        <f t="shared" si="35"/>
        <v>0</v>
      </c>
      <c r="AT103" s="185">
        <f t="shared" si="36"/>
        <v>0</v>
      </c>
      <c r="AU103" s="185">
        <f t="shared" si="37"/>
        <v>0</v>
      </c>
      <c r="AV103" s="185">
        <f t="shared" si="38"/>
        <v>0</v>
      </c>
      <c r="AW103" s="185">
        <f t="shared" si="39"/>
        <v>0</v>
      </c>
      <c r="AX103" s="185">
        <f t="shared" si="40"/>
        <v>0</v>
      </c>
      <c r="AY103" s="185">
        <f t="shared" si="41"/>
        <v>0</v>
      </c>
      <c r="AZ103" s="185">
        <f t="shared" si="42"/>
        <v>0</v>
      </c>
      <c r="BA103" s="185">
        <f t="shared" si="43"/>
        <v>0</v>
      </c>
      <c r="BB103" s="185">
        <f t="shared" si="44"/>
        <v>0</v>
      </c>
      <c r="BC103" s="185">
        <f t="shared" si="45"/>
        <v>0</v>
      </c>
      <c r="BD103" s="185">
        <f t="shared" si="21"/>
        <v>0</v>
      </c>
      <c r="BE103" s="185">
        <f t="shared" si="22"/>
        <v>0</v>
      </c>
    </row>
    <row r="104" spans="1:57" s="90" customFormat="1" ht="15" hidden="1" customHeight="1" x14ac:dyDescent="0.25">
      <c r="A104" s="187" t="b">
        <v>1</v>
      </c>
      <c r="B104" s="188" t="b">
        <v>1</v>
      </c>
      <c r="C104" s="179" t="e">
        <f t="shared" si="25"/>
        <v>#N/A</v>
      </c>
      <c r="E104" s="180">
        <v>2075</v>
      </c>
      <c r="F104" s="100">
        <f t="shared" si="24"/>
        <v>117</v>
      </c>
      <c r="G104" s="181">
        <f t="shared" si="26"/>
        <v>-52</v>
      </c>
      <c r="H104" s="181" t="e">
        <f t="shared" si="46"/>
        <v>#N/A</v>
      </c>
      <c r="J104" s="182">
        <v>0</v>
      </c>
      <c r="K104" s="101"/>
      <c r="L104" s="183" t="e">
        <f t="shared" si="27"/>
        <v>#N/A</v>
      </c>
      <c r="M104" s="184"/>
      <c r="N104" s="91"/>
      <c r="O104" s="91"/>
      <c r="P104" s="90">
        <v>0</v>
      </c>
      <c r="Q104" s="87">
        <v>1</v>
      </c>
      <c r="R104" s="185">
        <v>0</v>
      </c>
      <c r="S104" s="185">
        <v>0</v>
      </c>
      <c r="T104" s="185">
        <v>0</v>
      </c>
      <c r="U104" s="185">
        <v>0</v>
      </c>
      <c r="V104" s="182">
        <v>0</v>
      </c>
      <c r="W104" s="182">
        <v>0</v>
      </c>
      <c r="X104" s="182">
        <v>0</v>
      </c>
      <c r="Y104" s="182">
        <v>0</v>
      </c>
      <c r="Z104" s="182">
        <v>0</v>
      </c>
      <c r="AA104" s="182">
        <v>0</v>
      </c>
      <c r="AB104" s="182">
        <v>0</v>
      </c>
      <c r="AC104" s="182">
        <v>0</v>
      </c>
      <c r="AD104" s="182">
        <v>0</v>
      </c>
      <c r="AE104" s="182">
        <v>0</v>
      </c>
      <c r="AF104" s="182">
        <v>0</v>
      </c>
      <c r="AG104" s="182">
        <v>0</v>
      </c>
      <c r="AH104" s="182">
        <v>0</v>
      </c>
      <c r="AI104" s="182">
        <v>0</v>
      </c>
      <c r="AJ104" s="182">
        <v>0</v>
      </c>
      <c r="AL104" s="185">
        <f t="shared" si="28"/>
        <v>1</v>
      </c>
      <c r="AM104" s="185">
        <f t="shared" si="29"/>
        <v>0</v>
      </c>
      <c r="AN104" s="185">
        <f t="shared" si="30"/>
        <v>0</v>
      </c>
      <c r="AO104" s="185">
        <f t="shared" si="31"/>
        <v>0</v>
      </c>
      <c r="AP104" s="185">
        <f t="shared" si="32"/>
        <v>0</v>
      </c>
      <c r="AQ104" s="185">
        <f t="shared" si="33"/>
        <v>0</v>
      </c>
      <c r="AR104" s="185">
        <f t="shared" si="34"/>
        <v>0</v>
      </c>
      <c r="AS104" s="185">
        <f t="shared" si="35"/>
        <v>0</v>
      </c>
      <c r="AT104" s="185">
        <f t="shared" si="36"/>
        <v>0</v>
      </c>
      <c r="AU104" s="185">
        <f t="shared" si="37"/>
        <v>0</v>
      </c>
      <c r="AV104" s="185">
        <f t="shared" si="38"/>
        <v>0</v>
      </c>
      <c r="AW104" s="185">
        <f t="shared" si="39"/>
        <v>0</v>
      </c>
      <c r="AX104" s="185">
        <f t="shared" si="40"/>
        <v>0</v>
      </c>
      <c r="AY104" s="185">
        <f t="shared" si="41"/>
        <v>0</v>
      </c>
      <c r="AZ104" s="185">
        <f t="shared" si="42"/>
        <v>0</v>
      </c>
      <c r="BA104" s="185">
        <f t="shared" si="43"/>
        <v>0</v>
      </c>
      <c r="BB104" s="185">
        <f t="shared" si="44"/>
        <v>0</v>
      </c>
      <c r="BC104" s="185">
        <f t="shared" si="45"/>
        <v>0</v>
      </c>
      <c r="BD104" s="185">
        <f t="shared" si="21"/>
        <v>0</v>
      </c>
      <c r="BE104" s="185">
        <f t="shared" si="22"/>
        <v>0</v>
      </c>
    </row>
    <row r="105" spans="1:57" s="90" customFormat="1" ht="15" hidden="1" customHeight="1" x14ac:dyDescent="0.25">
      <c r="A105" s="187" t="b">
        <v>1</v>
      </c>
      <c r="B105" s="188" t="b">
        <v>1</v>
      </c>
      <c r="C105" s="179" t="e">
        <f t="shared" si="25"/>
        <v>#N/A</v>
      </c>
      <c r="E105" s="180">
        <v>2076</v>
      </c>
      <c r="F105" s="100">
        <f t="shared" si="24"/>
        <v>118</v>
      </c>
      <c r="G105" s="181">
        <f t="shared" si="26"/>
        <v>-53</v>
      </c>
      <c r="H105" s="181" t="e">
        <f t="shared" si="46"/>
        <v>#N/A</v>
      </c>
      <c r="J105" s="182">
        <v>0</v>
      </c>
      <c r="K105" s="101"/>
      <c r="L105" s="183" t="e">
        <f t="shared" si="27"/>
        <v>#N/A</v>
      </c>
      <c r="M105" s="184"/>
      <c r="N105" s="91"/>
      <c r="O105" s="91"/>
      <c r="P105" s="90">
        <v>0</v>
      </c>
      <c r="Q105" s="87">
        <v>1</v>
      </c>
      <c r="R105" s="185">
        <v>0</v>
      </c>
      <c r="S105" s="185">
        <v>0</v>
      </c>
      <c r="T105" s="185">
        <v>0</v>
      </c>
      <c r="U105" s="185">
        <v>0</v>
      </c>
      <c r="V105" s="182">
        <v>0</v>
      </c>
      <c r="W105" s="182">
        <v>0</v>
      </c>
      <c r="X105" s="182">
        <v>0</v>
      </c>
      <c r="Y105" s="182">
        <v>0</v>
      </c>
      <c r="Z105" s="182">
        <v>0</v>
      </c>
      <c r="AA105" s="182">
        <v>0</v>
      </c>
      <c r="AB105" s="182">
        <v>0</v>
      </c>
      <c r="AC105" s="182">
        <v>0</v>
      </c>
      <c r="AD105" s="182">
        <v>0</v>
      </c>
      <c r="AE105" s="182">
        <v>0</v>
      </c>
      <c r="AF105" s="182">
        <v>0</v>
      </c>
      <c r="AG105" s="182">
        <v>0</v>
      </c>
      <c r="AH105" s="182">
        <v>0</v>
      </c>
      <c r="AI105" s="182">
        <v>0</v>
      </c>
      <c r="AJ105" s="182">
        <v>0</v>
      </c>
      <c r="AL105" s="185">
        <f t="shared" si="28"/>
        <v>1</v>
      </c>
      <c r="AM105" s="185">
        <f t="shared" si="29"/>
        <v>0</v>
      </c>
      <c r="AN105" s="185">
        <f t="shared" si="30"/>
        <v>0</v>
      </c>
      <c r="AO105" s="185">
        <f t="shared" si="31"/>
        <v>0</v>
      </c>
      <c r="AP105" s="185">
        <f t="shared" si="32"/>
        <v>0</v>
      </c>
      <c r="AQ105" s="185">
        <f t="shared" si="33"/>
        <v>0</v>
      </c>
      <c r="AR105" s="185">
        <f t="shared" si="34"/>
        <v>0</v>
      </c>
      <c r="AS105" s="185">
        <f t="shared" si="35"/>
        <v>0</v>
      </c>
      <c r="AT105" s="185">
        <f t="shared" si="36"/>
        <v>0</v>
      </c>
      <c r="AU105" s="185">
        <f t="shared" si="37"/>
        <v>0</v>
      </c>
      <c r="AV105" s="185">
        <f t="shared" si="38"/>
        <v>0</v>
      </c>
      <c r="AW105" s="185">
        <f t="shared" si="39"/>
        <v>0</v>
      </c>
      <c r="AX105" s="185">
        <f t="shared" si="40"/>
        <v>0</v>
      </c>
      <c r="AY105" s="185">
        <f t="shared" si="41"/>
        <v>0</v>
      </c>
      <c r="AZ105" s="185">
        <f t="shared" si="42"/>
        <v>0</v>
      </c>
      <c r="BA105" s="185">
        <f t="shared" si="43"/>
        <v>0</v>
      </c>
      <c r="BB105" s="185">
        <f t="shared" si="44"/>
        <v>0</v>
      </c>
      <c r="BC105" s="185">
        <f t="shared" si="45"/>
        <v>0</v>
      </c>
      <c r="BD105" s="185">
        <f t="shared" si="21"/>
        <v>0</v>
      </c>
      <c r="BE105" s="185">
        <f t="shared" si="22"/>
        <v>0</v>
      </c>
    </row>
    <row r="106" spans="1:57" s="90" customFormat="1" ht="15" hidden="1" customHeight="1" x14ac:dyDescent="0.25">
      <c r="A106" s="187" t="b">
        <v>1</v>
      </c>
      <c r="B106" s="188" t="b">
        <v>1</v>
      </c>
      <c r="C106" s="179" t="e">
        <f t="shared" si="25"/>
        <v>#N/A</v>
      </c>
      <c r="E106" s="180">
        <v>2077</v>
      </c>
      <c r="F106" s="100">
        <f t="shared" si="24"/>
        <v>119</v>
      </c>
      <c r="G106" s="181">
        <f t="shared" si="26"/>
        <v>-54</v>
      </c>
      <c r="H106" s="181" t="e">
        <f t="shared" si="46"/>
        <v>#N/A</v>
      </c>
      <c r="J106" s="182">
        <v>0</v>
      </c>
      <c r="K106" s="101"/>
      <c r="L106" s="183" t="e">
        <f t="shared" si="27"/>
        <v>#N/A</v>
      </c>
      <c r="M106" s="184"/>
      <c r="N106" s="91"/>
      <c r="O106" s="91"/>
      <c r="P106" s="90">
        <v>0</v>
      </c>
      <c r="Q106" s="87">
        <v>1</v>
      </c>
      <c r="R106" s="185">
        <v>0</v>
      </c>
      <c r="S106" s="185">
        <v>0</v>
      </c>
      <c r="T106" s="185">
        <v>0</v>
      </c>
      <c r="U106" s="185">
        <v>0</v>
      </c>
      <c r="V106" s="182">
        <v>0</v>
      </c>
      <c r="W106" s="182">
        <v>0</v>
      </c>
      <c r="X106" s="182">
        <v>0</v>
      </c>
      <c r="Y106" s="182">
        <v>0</v>
      </c>
      <c r="Z106" s="182">
        <v>0</v>
      </c>
      <c r="AA106" s="182">
        <v>0</v>
      </c>
      <c r="AB106" s="182">
        <v>0</v>
      </c>
      <c r="AC106" s="182">
        <v>0</v>
      </c>
      <c r="AD106" s="182">
        <v>0</v>
      </c>
      <c r="AE106" s="182">
        <v>0</v>
      </c>
      <c r="AF106" s="182">
        <v>0</v>
      </c>
      <c r="AG106" s="182">
        <v>0</v>
      </c>
      <c r="AH106" s="182">
        <v>0</v>
      </c>
      <c r="AI106" s="182">
        <v>0</v>
      </c>
      <c r="AJ106" s="182">
        <v>0</v>
      </c>
      <c r="AL106" s="185">
        <f t="shared" si="28"/>
        <v>1</v>
      </c>
      <c r="AM106" s="185">
        <f t="shared" si="29"/>
        <v>0</v>
      </c>
      <c r="AN106" s="185">
        <f t="shared" si="30"/>
        <v>0</v>
      </c>
      <c r="AO106" s="185">
        <f t="shared" si="31"/>
        <v>0</v>
      </c>
      <c r="AP106" s="185">
        <f t="shared" si="32"/>
        <v>0</v>
      </c>
      <c r="AQ106" s="185">
        <f t="shared" si="33"/>
        <v>0</v>
      </c>
      <c r="AR106" s="185">
        <f t="shared" si="34"/>
        <v>0</v>
      </c>
      <c r="AS106" s="185">
        <f t="shared" si="35"/>
        <v>0</v>
      </c>
      <c r="AT106" s="185">
        <f t="shared" si="36"/>
        <v>0</v>
      </c>
      <c r="AU106" s="185">
        <f t="shared" si="37"/>
        <v>0</v>
      </c>
      <c r="AV106" s="185">
        <f t="shared" si="38"/>
        <v>0</v>
      </c>
      <c r="AW106" s="185">
        <f t="shared" si="39"/>
        <v>0</v>
      </c>
      <c r="AX106" s="185">
        <f t="shared" si="40"/>
        <v>0</v>
      </c>
      <c r="AY106" s="185">
        <f t="shared" si="41"/>
        <v>0</v>
      </c>
      <c r="AZ106" s="185">
        <f t="shared" si="42"/>
        <v>0</v>
      </c>
      <c r="BA106" s="185">
        <f t="shared" si="43"/>
        <v>0</v>
      </c>
      <c r="BB106" s="185">
        <f t="shared" si="44"/>
        <v>0</v>
      </c>
      <c r="BC106" s="185">
        <f t="shared" si="45"/>
        <v>0</v>
      </c>
      <c r="BD106" s="185">
        <f t="shared" si="21"/>
        <v>0</v>
      </c>
      <c r="BE106" s="185">
        <f t="shared" si="22"/>
        <v>0</v>
      </c>
    </row>
    <row r="107" spans="1:57" s="90" customFormat="1" ht="15" hidden="1" customHeight="1" x14ac:dyDescent="0.25">
      <c r="A107" s="187" t="b">
        <v>1</v>
      </c>
      <c r="B107" s="188" t="b">
        <v>1</v>
      </c>
      <c r="C107" s="179" t="e">
        <f t="shared" si="25"/>
        <v>#N/A</v>
      </c>
      <c r="E107" s="180">
        <v>2078</v>
      </c>
      <c r="F107" s="100">
        <f t="shared" si="24"/>
        <v>120</v>
      </c>
      <c r="G107" s="181">
        <f t="shared" si="26"/>
        <v>-55</v>
      </c>
      <c r="H107" s="181" t="e">
        <f t="shared" si="46"/>
        <v>#N/A</v>
      </c>
      <c r="J107" s="182">
        <v>0</v>
      </c>
      <c r="K107" s="101"/>
      <c r="L107" s="183" t="e">
        <f t="shared" si="27"/>
        <v>#N/A</v>
      </c>
      <c r="M107" s="184"/>
      <c r="N107" s="91"/>
      <c r="O107" s="91"/>
      <c r="P107" s="90">
        <v>0</v>
      </c>
      <c r="Q107" s="87">
        <v>1</v>
      </c>
      <c r="R107" s="185">
        <v>0</v>
      </c>
      <c r="S107" s="185">
        <v>0</v>
      </c>
      <c r="T107" s="185">
        <v>0</v>
      </c>
      <c r="U107" s="185">
        <v>0</v>
      </c>
      <c r="V107" s="182">
        <v>0</v>
      </c>
      <c r="W107" s="182">
        <v>0</v>
      </c>
      <c r="X107" s="182">
        <v>0</v>
      </c>
      <c r="Y107" s="182">
        <v>0</v>
      </c>
      <c r="Z107" s="182">
        <v>0</v>
      </c>
      <c r="AA107" s="182">
        <v>0</v>
      </c>
      <c r="AB107" s="182">
        <v>0</v>
      </c>
      <c r="AC107" s="182">
        <v>0</v>
      </c>
      <c r="AD107" s="182">
        <v>0</v>
      </c>
      <c r="AE107" s="182">
        <v>0</v>
      </c>
      <c r="AF107" s="182">
        <v>0</v>
      </c>
      <c r="AG107" s="182">
        <v>0</v>
      </c>
      <c r="AH107" s="182">
        <v>0</v>
      </c>
      <c r="AI107" s="182">
        <v>0</v>
      </c>
      <c r="AJ107" s="182">
        <v>0</v>
      </c>
      <c r="AL107" s="185">
        <f t="shared" si="28"/>
        <v>1</v>
      </c>
      <c r="AM107" s="185">
        <f t="shared" si="29"/>
        <v>0</v>
      </c>
      <c r="AN107" s="185">
        <f t="shared" si="30"/>
        <v>0</v>
      </c>
      <c r="AO107" s="185">
        <f t="shared" si="31"/>
        <v>0</v>
      </c>
      <c r="AP107" s="185">
        <f t="shared" si="32"/>
        <v>0</v>
      </c>
      <c r="AQ107" s="185">
        <f t="shared" si="33"/>
        <v>0</v>
      </c>
      <c r="AR107" s="185">
        <f t="shared" si="34"/>
        <v>0</v>
      </c>
      <c r="AS107" s="185">
        <f t="shared" si="35"/>
        <v>0</v>
      </c>
      <c r="AT107" s="185">
        <f t="shared" si="36"/>
        <v>0</v>
      </c>
      <c r="AU107" s="185">
        <f t="shared" si="37"/>
        <v>0</v>
      </c>
      <c r="AV107" s="185">
        <f t="shared" si="38"/>
        <v>0</v>
      </c>
      <c r="AW107" s="185">
        <f t="shared" si="39"/>
        <v>0</v>
      </c>
      <c r="AX107" s="185">
        <f t="shared" si="40"/>
        <v>0</v>
      </c>
      <c r="AY107" s="185">
        <f t="shared" si="41"/>
        <v>0</v>
      </c>
      <c r="AZ107" s="185">
        <f t="shared" si="42"/>
        <v>0</v>
      </c>
      <c r="BA107" s="185">
        <f t="shared" si="43"/>
        <v>0</v>
      </c>
      <c r="BB107" s="185">
        <f t="shared" si="44"/>
        <v>0</v>
      </c>
      <c r="BC107" s="185">
        <f t="shared" si="45"/>
        <v>0</v>
      </c>
      <c r="BD107" s="185">
        <f t="shared" si="21"/>
        <v>0</v>
      </c>
      <c r="BE107" s="185">
        <f t="shared" si="22"/>
        <v>0</v>
      </c>
    </row>
    <row r="108" spans="1:57" s="90" customFormat="1" ht="15" hidden="1" customHeight="1" x14ac:dyDescent="0.25">
      <c r="A108" s="187" t="b">
        <v>1</v>
      </c>
      <c r="B108" s="188" t="b">
        <v>1</v>
      </c>
      <c r="C108" s="179" t="e">
        <f t="shared" si="25"/>
        <v>#N/A</v>
      </c>
      <c r="E108" s="180">
        <v>2079</v>
      </c>
      <c r="F108" s="100">
        <f t="shared" si="24"/>
        <v>121</v>
      </c>
      <c r="G108" s="181">
        <f t="shared" si="26"/>
        <v>-56</v>
      </c>
      <c r="H108" s="181" t="e">
        <f t="shared" si="46"/>
        <v>#N/A</v>
      </c>
      <c r="J108" s="182">
        <v>0</v>
      </c>
      <c r="K108" s="101"/>
      <c r="L108" s="183" t="e">
        <f t="shared" si="27"/>
        <v>#N/A</v>
      </c>
      <c r="M108" s="184"/>
      <c r="N108" s="91"/>
      <c r="O108" s="91"/>
      <c r="P108" s="90">
        <v>0</v>
      </c>
      <c r="Q108" s="87">
        <v>1</v>
      </c>
      <c r="R108" s="185">
        <v>0</v>
      </c>
      <c r="S108" s="185">
        <v>0</v>
      </c>
      <c r="T108" s="185">
        <v>0</v>
      </c>
      <c r="U108" s="185">
        <v>0</v>
      </c>
      <c r="V108" s="182">
        <v>0</v>
      </c>
      <c r="W108" s="182">
        <v>0</v>
      </c>
      <c r="X108" s="182">
        <v>0</v>
      </c>
      <c r="Y108" s="182">
        <v>0</v>
      </c>
      <c r="Z108" s="182">
        <v>0</v>
      </c>
      <c r="AA108" s="182">
        <v>0</v>
      </c>
      <c r="AB108" s="182">
        <v>0</v>
      </c>
      <c r="AC108" s="182">
        <v>0</v>
      </c>
      <c r="AD108" s="182">
        <v>0</v>
      </c>
      <c r="AE108" s="182">
        <v>0</v>
      </c>
      <c r="AF108" s="182">
        <v>0</v>
      </c>
      <c r="AG108" s="182">
        <v>0</v>
      </c>
      <c r="AH108" s="182">
        <v>0</v>
      </c>
      <c r="AI108" s="182">
        <v>0</v>
      </c>
      <c r="AJ108" s="182">
        <v>0</v>
      </c>
      <c r="AL108" s="185">
        <f t="shared" si="28"/>
        <v>1</v>
      </c>
      <c r="AM108" s="185">
        <f t="shared" si="29"/>
        <v>0</v>
      </c>
      <c r="AN108" s="185">
        <f t="shared" si="30"/>
        <v>0</v>
      </c>
      <c r="AO108" s="185">
        <f t="shared" si="31"/>
        <v>0</v>
      </c>
      <c r="AP108" s="185">
        <f t="shared" si="32"/>
        <v>0</v>
      </c>
      <c r="AQ108" s="185">
        <f t="shared" si="33"/>
        <v>0</v>
      </c>
      <c r="AR108" s="185">
        <f t="shared" si="34"/>
        <v>0</v>
      </c>
      <c r="AS108" s="185">
        <f t="shared" si="35"/>
        <v>0</v>
      </c>
      <c r="AT108" s="185">
        <f t="shared" si="36"/>
        <v>0</v>
      </c>
      <c r="AU108" s="185">
        <f t="shared" si="37"/>
        <v>0</v>
      </c>
      <c r="AV108" s="185">
        <f t="shared" si="38"/>
        <v>0</v>
      </c>
      <c r="AW108" s="185">
        <f t="shared" si="39"/>
        <v>0</v>
      </c>
      <c r="AX108" s="185">
        <f t="shared" si="40"/>
        <v>0</v>
      </c>
      <c r="AY108" s="185">
        <f t="shared" si="41"/>
        <v>0</v>
      </c>
      <c r="AZ108" s="185">
        <f t="shared" si="42"/>
        <v>0</v>
      </c>
      <c r="BA108" s="185">
        <f t="shared" si="43"/>
        <v>0</v>
      </c>
      <c r="BB108" s="185">
        <f t="shared" si="44"/>
        <v>0</v>
      </c>
      <c r="BC108" s="185">
        <f t="shared" si="45"/>
        <v>0</v>
      </c>
      <c r="BD108" s="185">
        <f t="shared" si="21"/>
        <v>0</v>
      </c>
      <c r="BE108" s="185">
        <f t="shared" si="22"/>
        <v>0</v>
      </c>
    </row>
    <row r="109" spans="1:57" s="90" customFormat="1" ht="15" hidden="1" customHeight="1" x14ac:dyDescent="0.25">
      <c r="A109" s="187" t="b">
        <v>1</v>
      </c>
      <c r="B109" s="188" t="b">
        <v>1</v>
      </c>
      <c r="C109" s="179" t="e">
        <f t="shared" si="25"/>
        <v>#N/A</v>
      </c>
      <c r="E109" s="180">
        <v>2080</v>
      </c>
      <c r="F109" s="100">
        <f t="shared" si="24"/>
        <v>122</v>
      </c>
      <c r="G109" s="181">
        <f t="shared" si="26"/>
        <v>-57</v>
      </c>
      <c r="H109" s="181" t="e">
        <f t="shared" si="46"/>
        <v>#N/A</v>
      </c>
      <c r="J109" s="182">
        <v>0</v>
      </c>
      <c r="K109" s="101"/>
      <c r="L109" s="183" t="e">
        <f t="shared" si="27"/>
        <v>#N/A</v>
      </c>
      <c r="M109" s="184"/>
      <c r="N109" s="91"/>
      <c r="O109" s="91"/>
      <c r="P109" s="90">
        <v>0</v>
      </c>
      <c r="Q109" s="87">
        <v>1</v>
      </c>
      <c r="R109" s="185">
        <v>0</v>
      </c>
      <c r="S109" s="185">
        <v>0</v>
      </c>
      <c r="T109" s="185">
        <v>0</v>
      </c>
      <c r="U109" s="185">
        <v>0</v>
      </c>
      <c r="V109" s="182">
        <v>0</v>
      </c>
      <c r="W109" s="182">
        <v>0</v>
      </c>
      <c r="X109" s="182">
        <v>0</v>
      </c>
      <c r="Y109" s="182">
        <v>0</v>
      </c>
      <c r="Z109" s="182">
        <v>0</v>
      </c>
      <c r="AA109" s="182">
        <v>0</v>
      </c>
      <c r="AB109" s="182">
        <v>0</v>
      </c>
      <c r="AC109" s="182">
        <v>0</v>
      </c>
      <c r="AD109" s="182">
        <v>0</v>
      </c>
      <c r="AE109" s="182">
        <v>0</v>
      </c>
      <c r="AF109" s="182">
        <v>0</v>
      </c>
      <c r="AG109" s="182">
        <v>0</v>
      </c>
      <c r="AH109" s="182">
        <v>0</v>
      </c>
      <c r="AI109" s="182">
        <v>0</v>
      </c>
      <c r="AJ109" s="182">
        <v>0</v>
      </c>
      <c r="AL109" s="185">
        <f t="shared" si="28"/>
        <v>1</v>
      </c>
      <c r="AM109" s="185">
        <f t="shared" si="29"/>
        <v>0</v>
      </c>
      <c r="AN109" s="185">
        <f t="shared" si="30"/>
        <v>0</v>
      </c>
      <c r="AO109" s="185">
        <f t="shared" si="31"/>
        <v>0</v>
      </c>
      <c r="AP109" s="185">
        <f t="shared" si="32"/>
        <v>0</v>
      </c>
      <c r="AQ109" s="185">
        <f t="shared" si="33"/>
        <v>0</v>
      </c>
      <c r="AR109" s="185">
        <f t="shared" si="34"/>
        <v>0</v>
      </c>
      <c r="AS109" s="185">
        <f t="shared" si="35"/>
        <v>0</v>
      </c>
      <c r="AT109" s="185">
        <f t="shared" si="36"/>
        <v>0</v>
      </c>
      <c r="AU109" s="185">
        <f t="shared" si="37"/>
        <v>0</v>
      </c>
      <c r="AV109" s="185">
        <f t="shared" si="38"/>
        <v>0</v>
      </c>
      <c r="AW109" s="185">
        <f t="shared" si="39"/>
        <v>0</v>
      </c>
      <c r="AX109" s="185">
        <f t="shared" si="40"/>
        <v>0</v>
      </c>
      <c r="AY109" s="185">
        <f t="shared" si="41"/>
        <v>0</v>
      </c>
      <c r="AZ109" s="185">
        <f t="shared" si="42"/>
        <v>0</v>
      </c>
      <c r="BA109" s="185">
        <f t="shared" si="43"/>
        <v>0</v>
      </c>
      <c r="BB109" s="185">
        <f t="shared" si="44"/>
        <v>0</v>
      </c>
      <c r="BC109" s="185">
        <f t="shared" si="45"/>
        <v>0</v>
      </c>
      <c r="BD109" s="185">
        <f t="shared" si="21"/>
        <v>0</v>
      </c>
      <c r="BE109" s="185">
        <f t="shared" si="22"/>
        <v>0</v>
      </c>
    </row>
    <row r="110" spans="1:57" s="90" customFormat="1" ht="15" hidden="1" customHeight="1" x14ac:dyDescent="0.25">
      <c r="A110" s="187" t="b">
        <v>1</v>
      </c>
      <c r="B110" s="188" t="b">
        <v>1</v>
      </c>
      <c r="C110" s="179" t="e">
        <f t="shared" si="25"/>
        <v>#N/A</v>
      </c>
      <c r="E110" s="180">
        <v>2081</v>
      </c>
      <c r="F110" s="100">
        <f t="shared" si="24"/>
        <v>123</v>
      </c>
      <c r="G110" s="181">
        <f t="shared" si="26"/>
        <v>-58</v>
      </c>
      <c r="H110" s="181" t="e">
        <f t="shared" si="46"/>
        <v>#N/A</v>
      </c>
      <c r="J110" s="182">
        <v>0</v>
      </c>
      <c r="K110" s="101"/>
      <c r="L110" s="183" t="e">
        <f t="shared" si="27"/>
        <v>#N/A</v>
      </c>
      <c r="M110" s="184"/>
      <c r="N110" s="91"/>
      <c r="O110" s="91"/>
      <c r="P110" s="90">
        <v>0</v>
      </c>
      <c r="Q110" s="87">
        <v>1</v>
      </c>
      <c r="R110" s="185">
        <v>0</v>
      </c>
      <c r="S110" s="185">
        <v>0</v>
      </c>
      <c r="T110" s="185">
        <v>0</v>
      </c>
      <c r="U110" s="185">
        <v>0</v>
      </c>
      <c r="V110" s="182">
        <v>0</v>
      </c>
      <c r="W110" s="182">
        <v>0</v>
      </c>
      <c r="X110" s="182">
        <v>0</v>
      </c>
      <c r="Y110" s="182">
        <v>0</v>
      </c>
      <c r="Z110" s="182">
        <v>0</v>
      </c>
      <c r="AA110" s="182">
        <v>0</v>
      </c>
      <c r="AB110" s="182">
        <v>0</v>
      </c>
      <c r="AC110" s="182">
        <v>0</v>
      </c>
      <c r="AD110" s="182">
        <v>0</v>
      </c>
      <c r="AE110" s="182">
        <v>0</v>
      </c>
      <c r="AF110" s="182">
        <v>0</v>
      </c>
      <c r="AG110" s="182">
        <v>0</v>
      </c>
      <c r="AH110" s="182">
        <v>0</v>
      </c>
      <c r="AI110" s="182">
        <v>0</v>
      </c>
      <c r="AJ110" s="182">
        <v>0</v>
      </c>
      <c r="AL110" s="185">
        <f t="shared" si="28"/>
        <v>1</v>
      </c>
      <c r="AM110" s="185">
        <f t="shared" si="29"/>
        <v>0</v>
      </c>
      <c r="AN110" s="185">
        <f t="shared" si="30"/>
        <v>0</v>
      </c>
      <c r="AO110" s="185">
        <f t="shared" si="31"/>
        <v>0</v>
      </c>
      <c r="AP110" s="185">
        <f t="shared" si="32"/>
        <v>0</v>
      </c>
      <c r="AQ110" s="185">
        <f t="shared" si="33"/>
        <v>0</v>
      </c>
      <c r="AR110" s="185">
        <f t="shared" si="34"/>
        <v>0</v>
      </c>
      <c r="AS110" s="185">
        <f t="shared" si="35"/>
        <v>0</v>
      </c>
      <c r="AT110" s="185">
        <f t="shared" si="36"/>
        <v>0</v>
      </c>
      <c r="AU110" s="185">
        <f t="shared" si="37"/>
        <v>0</v>
      </c>
      <c r="AV110" s="185">
        <f t="shared" si="38"/>
        <v>0</v>
      </c>
      <c r="AW110" s="185">
        <f t="shared" si="39"/>
        <v>0</v>
      </c>
      <c r="AX110" s="185">
        <f t="shared" si="40"/>
        <v>0</v>
      </c>
      <c r="AY110" s="185">
        <f t="shared" si="41"/>
        <v>0</v>
      </c>
      <c r="AZ110" s="185">
        <f t="shared" si="42"/>
        <v>0</v>
      </c>
      <c r="BA110" s="185">
        <f t="shared" si="43"/>
        <v>0</v>
      </c>
      <c r="BB110" s="185">
        <f t="shared" si="44"/>
        <v>0</v>
      </c>
      <c r="BC110" s="185">
        <f t="shared" si="45"/>
        <v>0</v>
      </c>
      <c r="BD110" s="185">
        <f t="shared" si="21"/>
        <v>0</v>
      </c>
      <c r="BE110" s="185">
        <f t="shared" si="22"/>
        <v>0</v>
      </c>
    </row>
    <row r="111" spans="1:57" s="90" customFormat="1" ht="15" hidden="1" customHeight="1" x14ac:dyDescent="0.25">
      <c r="A111" s="187" t="b">
        <v>1</v>
      </c>
      <c r="B111" s="188" t="b">
        <v>1</v>
      </c>
      <c r="C111" s="179" t="e">
        <f t="shared" ref="C111:C147" si="47">INDEX(CareerWageGrowthData,MATCH(MIN(F111, MAX(CareerAge)),CareerAge,0),MATCH(CountryAbbrev,CareerCountries,0))</f>
        <v>#N/A</v>
      </c>
      <c r="E111" s="180">
        <v>2082</v>
      </c>
      <c r="F111" s="100">
        <f t="shared" si="24"/>
        <v>124</v>
      </c>
      <c r="G111" s="181">
        <f t="shared" ref="G111:G142" si="48">Pension_age-F111</f>
        <v>-59</v>
      </c>
      <c r="H111" s="181" t="e">
        <f t="shared" si="46"/>
        <v>#N/A</v>
      </c>
      <c r="J111" s="182">
        <v>0</v>
      </c>
      <c r="K111" s="101"/>
      <c r="L111" s="183" t="e">
        <f t="shared" ref="L111:L147" si="49">IF($M111="",$C111,$M111)</f>
        <v>#N/A</v>
      </c>
      <c r="M111" s="184"/>
      <c r="N111" s="91"/>
      <c r="O111" s="91"/>
      <c r="P111" s="90">
        <v>0</v>
      </c>
      <c r="Q111" s="87">
        <v>1</v>
      </c>
      <c r="R111" s="185">
        <v>0</v>
      </c>
      <c r="S111" s="185">
        <v>0</v>
      </c>
      <c r="T111" s="185">
        <v>0</v>
      </c>
      <c r="U111" s="185">
        <v>0</v>
      </c>
      <c r="V111" s="182">
        <v>0</v>
      </c>
      <c r="W111" s="182">
        <v>0</v>
      </c>
      <c r="X111" s="182">
        <v>0</v>
      </c>
      <c r="Y111" s="182">
        <v>0</v>
      </c>
      <c r="Z111" s="182">
        <v>0</v>
      </c>
      <c r="AA111" s="182">
        <v>0</v>
      </c>
      <c r="AB111" s="182">
        <v>0</v>
      </c>
      <c r="AC111" s="182">
        <v>0</v>
      </c>
      <c r="AD111" s="182">
        <v>0</v>
      </c>
      <c r="AE111" s="182">
        <v>0</v>
      </c>
      <c r="AF111" s="182">
        <v>0</v>
      </c>
      <c r="AG111" s="182">
        <v>0</v>
      </c>
      <c r="AH111" s="182">
        <v>0</v>
      </c>
      <c r="AI111" s="182">
        <v>0</v>
      </c>
      <c r="AJ111" s="182">
        <v>0</v>
      </c>
      <c r="AL111" s="185">
        <f t="shared" ref="AL111:AL147" si="50">Q111</f>
        <v>1</v>
      </c>
      <c r="AM111" s="185">
        <f t="shared" ref="AM111:AM147" si="51">R111</f>
        <v>0</v>
      </c>
      <c r="AN111" s="185">
        <f t="shared" ref="AN111:AN147" si="52">S111</f>
        <v>0</v>
      </c>
      <c r="AO111" s="185">
        <f t="shared" ref="AO111:AO147" si="53">T111</f>
        <v>0</v>
      </c>
      <c r="AP111" s="185">
        <f t="shared" ref="AP111:AP147" si="54">U111</f>
        <v>0</v>
      </c>
      <c r="AQ111" s="185">
        <f t="shared" ref="AQ111:AQ147" si="55">V111</f>
        <v>0</v>
      </c>
      <c r="AR111" s="185">
        <f t="shared" ref="AR111:AR147" si="56">W111</f>
        <v>0</v>
      </c>
      <c r="AS111" s="185">
        <f t="shared" ref="AS111:AS147" si="57">X111</f>
        <v>0</v>
      </c>
      <c r="AT111" s="185">
        <f t="shared" ref="AT111:AT147" si="58">Y111</f>
        <v>0</v>
      </c>
      <c r="AU111" s="185">
        <f t="shared" ref="AU111:AU147" si="59">Z111</f>
        <v>0</v>
      </c>
      <c r="AV111" s="185">
        <f t="shared" ref="AV111:AV147" si="60">AA111</f>
        <v>0</v>
      </c>
      <c r="AW111" s="185">
        <f t="shared" ref="AW111:AW147" si="61">AB111</f>
        <v>0</v>
      </c>
      <c r="AX111" s="185">
        <f t="shared" ref="AX111:AX147" si="62">AC111</f>
        <v>0</v>
      </c>
      <c r="AY111" s="185">
        <f t="shared" ref="AY111:AY147" si="63">AD111</f>
        <v>0</v>
      </c>
      <c r="AZ111" s="185">
        <f t="shared" ref="AZ111:AZ147" si="64">AE111</f>
        <v>0</v>
      </c>
      <c r="BA111" s="185">
        <f t="shared" ref="BA111:BA147" si="65">AF111</f>
        <v>0</v>
      </c>
      <c r="BB111" s="185">
        <f t="shared" ref="BB111:BB147" si="66">AG111</f>
        <v>0</v>
      </c>
      <c r="BC111" s="185">
        <f t="shared" ref="BC111:BC147" si="67">AH111</f>
        <v>0</v>
      </c>
      <c r="BD111" s="185">
        <f t="shared" ref="BD111:BD147" si="68">AI111</f>
        <v>0</v>
      </c>
      <c r="BE111" s="185">
        <f t="shared" ref="BE111:BE147" si="69">AJ111</f>
        <v>0</v>
      </c>
    </row>
    <row r="112" spans="1:57" s="90" customFormat="1" ht="15" hidden="1" customHeight="1" x14ac:dyDescent="0.25">
      <c r="A112" s="187" t="b">
        <v>1</v>
      </c>
      <c r="B112" s="188" t="b">
        <v>1</v>
      </c>
      <c r="C112" s="179" t="e">
        <f t="shared" si="47"/>
        <v>#N/A</v>
      </c>
      <c r="E112" s="180">
        <v>2083</v>
      </c>
      <c r="F112" s="100">
        <f t="shared" si="24"/>
        <v>125</v>
      </c>
      <c r="G112" s="181">
        <f t="shared" si="48"/>
        <v>-60</v>
      </c>
      <c r="H112" s="181" t="e">
        <f t="shared" ref="H112:H147" si="70">H111*(1+L112)*(1+Projection_real_wage_growth)</f>
        <v>#N/A</v>
      </c>
      <c r="J112" s="182">
        <v>0</v>
      </c>
      <c r="K112" s="101"/>
      <c r="L112" s="183" t="e">
        <f t="shared" si="49"/>
        <v>#N/A</v>
      </c>
      <c r="M112" s="184"/>
      <c r="N112" s="91"/>
      <c r="O112" s="91"/>
      <c r="P112" s="90">
        <v>0</v>
      </c>
      <c r="Q112" s="87">
        <v>1</v>
      </c>
      <c r="R112" s="185">
        <v>0</v>
      </c>
      <c r="S112" s="185">
        <v>0</v>
      </c>
      <c r="T112" s="185">
        <v>0</v>
      </c>
      <c r="U112" s="185">
        <v>0</v>
      </c>
      <c r="V112" s="182">
        <v>0</v>
      </c>
      <c r="W112" s="182">
        <v>0</v>
      </c>
      <c r="X112" s="182">
        <v>0</v>
      </c>
      <c r="Y112" s="182">
        <v>0</v>
      </c>
      <c r="Z112" s="182">
        <v>0</v>
      </c>
      <c r="AA112" s="182">
        <v>0</v>
      </c>
      <c r="AB112" s="182">
        <v>0</v>
      </c>
      <c r="AC112" s="182">
        <v>0</v>
      </c>
      <c r="AD112" s="182">
        <v>0</v>
      </c>
      <c r="AE112" s="182">
        <v>0</v>
      </c>
      <c r="AF112" s="182">
        <v>0</v>
      </c>
      <c r="AG112" s="182">
        <v>0</v>
      </c>
      <c r="AH112" s="182">
        <v>0</v>
      </c>
      <c r="AI112" s="182">
        <v>0</v>
      </c>
      <c r="AJ112" s="182">
        <v>0</v>
      </c>
      <c r="AL112" s="185">
        <f t="shared" si="50"/>
        <v>1</v>
      </c>
      <c r="AM112" s="185">
        <f t="shared" si="51"/>
        <v>0</v>
      </c>
      <c r="AN112" s="185">
        <f t="shared" si="52"/>
        <v>0</v>
      </c>
      <c r="AO112" s="185">
        <f t="shared" si="53"/>
        <v>0</v>
      </c>
      <c r="AP112" s="185">
        <f t="shared" si="54"/>
        <v>0</v>
      </c>
      <c r="AQ112" s="185">
        <f t="shared" si="55"/>
        <v>0</v>
      </c>
      <c r="AR112" s="185">
        <f t="shared" si="56"/>
        <v>0</v>
      </c>
      <c r="AS112" s="185">
        <f t="shared" si="57"/>
        <v>0</v>
      </c>
      <c r="AT112" s="185">
        <f t="shared" si="58"/>
        <v>0</v>
      </c>
      <c r="AU112" s="185">
        <f t="shared" si="59"/>
        <v>0</v>
      </c>
      <c r="AV112" s="185">
        <f t="shared" si="60"/>
        <v>0</v>
      </c>
      <c r="AW112" s="185">
        <f t="shared" si="61"/>
        <v>0</v>
      </c>
      <c r="AX112" s="185">
        <f t="shared" si="62"/>
        <v>0</v>
      </c>
      <c r="AY112" s="185">
        <f t="shared" si="63"/>
        <v>0</v>
      </c>
      <c r="AZ112" s="185">
        <f t="shared" si="64"/>
        <v>0</v>
      </c>
      <c r="BA112" s="185">
        <f t="shared" si="65"/>
        <v>0</v>
      </c>
      <c r="BB112" s="185">
        <f t="shared" si="66"/>
        <v>0</v>
      </c>
      <c r="BC112" s="185">
        <f t="shared" si="67"/>
        <v>0</v>
      </c>
      <c r="BD112" s="185">
        <f t="shared" si="68"/>
        <v>0</v>
      </c>
      <c r="BE112" s="185">
        <f t="shared" si="69"/>
        <v>0</v>
      </c>
    </row>
    <row r="113" spans="1:57" s="90" customFormat="1" ht="15" hidden="1" customHeight="1" x14ac:dyDescent="0.25">
      <c r="A113" s="187" t="b">
        <v>1</v>
      </c>
      <c r="B113" s="188" t="b">
        <v>1</v>
      </c>
      <c r="C113" s="179" t="e">
        <f t="shared" si="47"/>
        <v>#N/A</v>
      </c>
      <c r="E113" s="180">
        <v>2084</v>
      </c>
      <c r="F113" s="100">
        <f t="shared" ref="F113:F147" si="71">F112+1</f>
        <v>126</v>
      </c>
      <c r="G113" s="181">
        <f t="shared" si="48"/>
        <v>-61</v>
      </c>
      <c r="H113" s="181" t="e">
        <f t="shared" si="70"/>
        <v>#N/A</v>
      </c>
      <c r="J113" s="182">
        <v>0</v>
      </c>
      <c r="K113" s="101"/>
      <c r="L113" s="183" t="e">
        <f t="shared" si="49"/>
        <v>#N/A</v>
      </c>
      <c r="M113" s="184"/>
      <c r="N113" s="91"/>
      <c r="O113" s="91"/>
      <c r="P113" s="90">
        <v>0</v>
      </c>
      <c r="Q113" s="87">
        <v>1</v>
      </c>
      <c r="R113" s="185">
        <v>0</v>
      </c>
      <c r="S113" s="185">
        <v>0</v>
      </c>
      <c r="T113" s="185">
        <v>0</v>
      </c>
      <c r="U113" s="185">
        <v>0</v>
      </c>
      <c r="V113" s="182">
        <v>0</v>
      </c>
      <c r="W113" s="182">
        <v>0</v>
      </c>
      <c r="X113" s="182">
        <v>0</v>
      </c>
      <c r="Y113" s="182">
        <v>0</v>
      </c>
      <c r="Z113" s="182">
        <v>0</v>
      </c>
      <c r="AA113" s="182">
        <v>0</v>
      </c>
      <c r="AB113" s="182">
        <v>0</v>
      </c>
      <c r="AC113" s="182">
        <v>0</v>
      </c>
      <c r="AD113" s="182">
        <v>0</v>
      </c>
      <c r="AE113" s="182">
        <v>0</v>
      </c>
      <c r="AF113" s="182">
        <v>0</v>
      </c>
      <c r="AG113" s="182">
        <v>0</v>
      </c>
      <c r="AH113" s="182">
        <v>0</v>
      </c>
      <c r="AI113" s="182">
        <v>0</v>
      </c>
      <c r="AJ113" s="182">
        <v>0</v>
      </c>
      <c r="AL113" s="185">
        <f t="shared" si="50"/>
        <v>1</v>
      </c>
      <c r="AM113" s="185">
        <f t="shared" si="51"/>
        <v>0</v>
      </c>
      <c r="AN113" s="185">
        <f t="shared" si="52"/>
        <v>0</v>
      </c>
      <c r="AO113" s="185">
        <f t="shared" si="53"/>
        <v>0</v>
      </c>
      <c r="AP113" s="185">
        <f t="shared" si="54"/>
        <v>0</v>
      </c>
      <c r="AQ113" s="185">
        <f t="shared" si="55"/>
        <v>0</v>
      </c>
      <c r="AR113" s="185">
        <f t="shared" si="56"/>
        <v>0</v>
      </c>
      <c r="AS113" s="185">
        <f t="shared" si="57"/>
        <v>0</v>
      </c>
      <c r="AT113" s="185">
        <f t="shared" si="58"/>
        <v>0</v>
      </c>
      <c r="AU113" s="185">
        <f t="shared" si="59"/>
        <v>0</v>
      </c>
      <c r="AV113" s="185">
        <f t="shared" si="60"/>
        <v>0</v>
      </c>
      <c r="AW113" s="185">
        <f t="shared" si="61"/>
        <v>0</v>
      </c>
      <c r="AX113" s="185">
        <f t="shared" si="62"/>
        <v>0</v>
      </c>
      <c r="AY113" s="185">
        <f t="shared" si="63"/>
        <v>0</v>
      </c>
      <c r="AZ113" s="185">
        <f t="shared" si="64"/>
        <v>0</v>
      </c>
      <c r="BA113" s="185">
        <f t="shared" si="65"/>
        <v>0</v>
      </c>
      <c r="BB113" s="185">
        <f t="shared" si="66"/>
        <v>0</v>
      </c>
      <c r="BC113" s="185">
        <f t="shared" si="67"/>
        <v>0</v>
      </c>
      <c r="BD113" s="185">
        <f t="shared" si="68"/>
        <v>0</v>
      </c>
      <c r="BE113" s="185">
        <f t="shared" si="69"/>
        <v>0</v>
      </c>
    </row>
    <row r="114" spans="1:57" s="90" customFormat="1" ht="15" hidden="1" customHeight="1" x14ac:dyDescent="0.25">
      <c r="A114" s="187" t="b">
        <v>1</v>
      </c>
      <c r="B114" s="188" t="b">
        <v>1</v>
      </c>
      <c r="C114" s="179" t="e">
        <f t="shared" si="47"/>
        <v>#N/A</v>
      </c>
      <c r="E114" s="180">
        <v>2085</v>
      </c>
      <c r="F114" s="100">
        <f t="shared" si="71"/>
        <v>127</v>
      </c>
      <c r="G114" s="181">
        <f t="shared" si="48"/>
        <v>-62</v>
      </c>
      <c r="H114" s="181" t="e">
        <f t="shared" si="70"/>
        <v>#N/A</v>
      </c>
      <c r="J114" s="182">
        <v>0</v>
      </c>
      <c r="K114" s="101"/>
      <c r="L114" s="183" t="e">
        <f t="shared" si="49"/>
        <v>#N/A</v>
      </c>
      <c r="M114" s="184"/>
      <c r="N114" s="91"/>
      <c r="O114" s="91"/>
      <c r="P114" s="90">
        <v>0</v>
      </c>
      <c r="Q114" s="87">
        <v>1</v>
      </c>
      <c r="R114" s="185">
        <v>0</v>
      </c>
      <c r="S114" s="185">
        <v>0</v>
      </c>
      <c r="T114" s="185">
        <v>0</v>
      </c>
      <c r="U114" s="185">
        <v>0</v>
      </c>
      <c r="V114" s="182">
        <v>0</v>
      </c>
      <c r="W114" s="182">
        <v>0</v>
      </c>
      <c r="X114" s="182">
        <v>0</v>
      </c>
      <c r="Y114" s="182">
        <v>0</v>
      </c>
      <c r="Z114" s="182">
        <v>0</v>
      </c>
      <c r="AA114" s="182">
        <v>0</v>
      </c>
      <c r="AB114" s="182">
        <v>0</v>
      </c>
      <c r="AC114" s="182">
        <v>0</v>
      </c>
      <c r="AD114" s="182">
        <v>0</v>
      </c>
      <c r="AE114" s="182">
        <v>0</v>
      </c>
      <c r="AF114" s="182">
        <v>0</v>
      </c>
      <c r="AG114" s="182">
        <v>0</v>
      </c>
      <c r="AH114" s="182">
        <v>0</v>
      </c>
      <c r="AI114" s="182">
        <v>0</v>
      </c>
      <c r="AJ114" s="182">
        <v>0</v>
      </c>
      <c r="AL114" s="185">
        <f t="shared" si="50"/>
        <v>1</v>
      </c>
      <c r="AM114" s="185">
        <f t="shared" si="51"/>
        <v>0</v>
      </c>
      <c r="AN114" s="185">
        <f t="shared" si="52"/>
        <v>0</v>
      </c>
      <c r="AO114" s="185">
        <f t="shared" si="53"/>
        <v>0</v>
      </c>
      <c r="AP114" s="185">
        <f t="shared" si="54"/>
        <v>0</v>
      </c>
      <c r="AQ114" s="185">
        <f t="shared" si="55"/>
        <v>0</v>
      </c>
      <c r="AR114" s="185">
        <f t="shared" si="56"/>
        <v>0</v>
      </c>
      <c r="AS114" s="185">
        <f t="shared" si="57"/>
        <v>0</v>
      </c>
      <c r="AT114" s="185">
        <f t="shared" si="58"/>
        <v>0</v>
      </c>
      <c r="AU114" s="185">
        <f t="shared" si="59"/>
        <v>0</v>
      </c>
      <c r="AV114" s="185">
        <f t="shared" si="60"/>
        <v>0</v>
      </c>
      <c r="AW114" s="185">
        <f t="shared" si="61"/>
        <v>0</v>
      </c>
      <c r="AX114" s="185">
        <f t="shared" si="62"/>
        <v>0</v>
      </c>
      <c r="AY114" s="185">
        <f t="shared" si="63"/>
        <v>0</v>
      </c>
      <c r="AZ114" s="185">
        <f t="shared" si="64"/>
        <v>0</v>
      </c>
      <c r="BA114" s="185">
        <f t="shared" si="65"/>
        <v>0</v>
      </c>
      <c r="BB114" s="185">
        <f t="shared" si="66"/>
        <v>0</v>
      </c>
      <c r="BC114" s="185">
        <f t="shared" si="67"/>
        <v>0</v>
      </c>
      <c r="BD114" s="185">
        <f t="shared" si="68"/>
        <v>0</v>
      </c>
      <c r="BE114" s="185">
        <f t="shared" si="69"/>
        <v>0</v>
      </c>
    </row>
    <row r="115" spans="1:57" s="90" customFormat="1" ht="15" hidden="1" customHeight="1" x14ac:dyDescent="0.25">
      <c r="A115" s="187" t="b">
        <v>1</v>
      </c>
      <c r="B115" s="188" t="b">
        <v>1</v>
      </c>
      <c r="C115" s="179" t="e">
        <f t="shared" si="47"/>
        <v>#N/A</v>
      </c>
      <c r="E115" s="180">
        <v>2086</v>
      </c>
      <c r="F115" s="100">
        <f t="shared" si="71"/>
        <v>128</v>
      </c>
      <c r="G115" s="181">
        <f t="shared" si="48"/>
        <v>-63</v>
      </c>
      <c r="H115" s="181" t="e">
        <f t="shared" si="70"/>
        <v>#N/A</v>
      </c>
      <c r="J115" s="182">
        <v>0</v>
      </c>
      <c r="K115" s="101"/>
      <c r="L115" s="183" t="e">
        <f t="shared" si="49"/>
        <v>#N/A</v>
      </c>
      <c r="M115" s="184"/>
      <c r="N115" s="91"/>
      <c r="O115" s="91"/>
      <c r="P115" s="90">
        <v>0</v>
      </c>
      <c r="Q115" s="87">
        <v>1</v>
      </c>
      <c r="R115" s="185">
        <v>0</v>
      </c>
      <c r="S115" s="185">
        <v>0</v>
      </c>
      <c r="T115" s="185">
        <v>0</v>
      </c>
      <c r="U115" s="185">
        <v>0</v>
      </c>
      <c r="V115" s="182">
        <v>0</v>
      </c>
      <c r="W115" s="182">
        <v>0</v>
      </c>
      <c r="X115" s="182">
        <v>0</v>
      </c>
      <c r="Y115" s="182">
        <v>0</v>
      </c>
      <c r="Z115" s="182">
        <v>0</v>
      </c>
      <c r="AA115" s="182">
        <v>0</v>
      </c>
      <c r="AB115" s="182">
        <v>0</v>
      </c>
      <c r="AC115" s="182">
        <v>0</v>
      </c>
      <c r="AD115" s="182">
        <v>0</v>
      </c>
      <c r="AE115" s="182">
        <v>0</v>
      </c>
      <c r="AF115" s="182">
        <v>0</v>
      </c>
      <c r="AG115" s="182">
        <v>0</v>
      </c>
      <c r="AH115" s="182">
        <v>0</v>
      </c>
      <c r="AI115" s="182">
        <v>0</v>
      </c>
      <c r="AJ115" s="182">
        <v>0</v>
      </c>
      <c r="AL115" s="185">
        <f t="shared" si="50"/>
        <v>1</v>
      </c>
      <c r="AM115" s="185">
        <f t="shared" si="51"/>
        <v>0</v>
      </c>
      <c r="AN115" s="185">
        <f t="shared" si="52"/>
        <v>0</v>
      </c>
      <c r="AO115" s="185">
        <f t="shared" si="53"/>
        <v>0</v>
      </c>
      <c r="AP115" s="185">
        <f t="shared" si="54"/>
        <v>0</v>
      </c>
      <c r="AQ115" s="185">
        <f t="shared" si="55"/>
        <v>0</v>
      </c>
      <c r="AR115" s="185">
        <f t="shared" si="56"/>
        <v>0</v>
      </c>
      <c r="AS115" s="185">
        <f t="shared" si="57"/>
        <v>0</v>
      </c>
      <c r="AT115" s="185">
        <f t="shared" si="58"/>
        <v>0</v>
      </c>
      <c r="AU115" s="185">
        <f t="shared" si="59"/>
        <v>0</v>
      </c>
      <c r="AV115" s="185">
        <f t="shared" si="60"/>
        <v>0</v>
      </c>
      <c r="AW115" s="185">
        <f t="shared" si="61"/>
        <v>0</v>
      </c>
      <c r="AX115" s="185">
        <f t="shared" si="62"/>
        <v>0</v>
      </c>
      <c r="AY115" s="185">
        <f t="shared" si="63"/>
        <v>0</v>
      </c>
      <c r="AZ115" s="185">
        <f t="shared" si="64"/>
        <v>0</v>
      </c>
      <c r="BA115" s="185">
        <f t="shared" si="65"/>
        <v>0</v>
      </c>
      <c r="BB115" s="185">
        <f t="shared" si="66"/>
        <v>0</v>
      </c>
      <c r="BC115" s="185">
        <f t="shared" si="67"/>
        <v>0</v>
      </c>
      <c r="BD115" s="185">
        <f t="shared" si="68"/>
        <v>0</v>
      </c>
      <c r="BE115" s="185">
        <f t="shared" si="69"/>
        <v>0</v>
      </c>
    </row>
    <row r="116" spans="1:57" s="90" customFormat="1" ht="15" hidden="1" customHeight="1" x14ac:dyDescent="0.25">
      <c r="A116" s="187" t="b">
        <v>1</v>
      </c>
      <c r="B116" s="188" t="b">
        <v>1</v>
      </c>
      <c r="C116" s="179" t="e">
        <f t="shared" si="47"/>
        <v>#N/A</v>
      </c>
      <c r="E116" s="180">
        <v>2087</v>
      </c>
      <c r="F116" s="100">
        <f t="shared" si="71"/>
        <v>129</v>
      </c>
      <c r="G116" s="181">
        <f t="shared" si="48"/>
        <v>-64</v>
      </c>
      <c r="H116" s="181" t="e">
        <f t="shared" si="70"/>
        <v>#N/A</v>
      </c>
      <c r="J116" s="182">
        <v>0</v>
      </c>
      <c r="K116" s="101"/>
      <c r="L116" s="183" t="e">
        <f t="shared" si="49"/>
        <v>#N/A</v>
      </c>
      <c r="M116" s="184"/>
      <c r="N116" s="91"/>
      <c r="O116" s="91"/>
      <c r="P116" s="90">
        <v>0</v>
      </c>
      <c r="Q116" s="87">
        <v>1</v>
      </c>
      <c r="R116" s="185">
        <v>0</v>
      </c>
      <c r="S116" s="185">
        <v>0</v>
      </c>
      <c r="T116" s="185">
        <v>0</v>
      </c>
      <c r="U116" s="185">
        <v>0</v>
      </c>
      <c r="V116" s="182">
        <v>0</v>
      </c>
      <c r="W116" s="182">
        <v>0</v>
      </c>
      <c r="X116" s="182">
        <v>0</v>
      </c>
      <c r="Y116" s="182">
        <v>0</v>
      </c>
      <c r="Z116" s="182">
        <v>0</v>
      </c>
      <c r="AA116" s="182">
        <v>0</v>
      </c>
      <c r="AB116" s="182">
        <v>0</v>
      </c>
      <c r="AC116" s="182">
        <v>0</v>
      </c>
      <c r="AD116" s="182">
        <v>0</v>
      </c>
      <c r="AE116" s="182">
        <v>0</v>
      </c>
      <c r="AF116" s="182">
        <v>0</v>
      </c>
      <c r="AG116" s="182">
        <v>0</v>
      </c>
      <c r="AH116" s="182">
        <v>0</v>
      </c>
      <c r="AI116" s="182">
        <v>0</v>
      </c>
      <c r="AJ116" s="182">
        <v>0</v>
      </c>
      <c r="AL116" s="185">
        <f t="shared" si="50"/>
        <v>1</v>
      </c>
      <c r="AM116" s="185">
        <f t="shared" si="51"/>
        <v>0</v>
      </c>
      <c r="AN116" s="185">
        <f t="shared" si="52"/>
        <v>0</v>
      </c>
      <c r="AO116" s="185">
        <f t="shared" si="53"/>
        <v>0</v>
      </c>
      <c r="AP116" s="185">
        <f t="shared" si="54"/>
        <v>0</v>
      </c>
      <c r="AQ116" s="185">
        <f t="shared" si="55"/>
        <v>0</v>
      </c>
      <c r="AR116" s="185">
        <f t="shared" si="56"/>
        <v>0</v>
      </c>
      <c r="AS116" s="185">
        <f t="shared" si="57"/>
        <v>0</v>
      </c>
      <c r="AT116" s="185">
        <f t="shared" si="58"/>
        <v>0</v>
      </c>
      <c r="AU116" s="185">
        <f t="shared" si="59"/>
        <v>0</v>
      </c>
      <c r="AV116" s="185">
        <f t="shared" si="60"/>
        <v>0</v>
      </c>
      <c r="AW116" s="185">
        <f t="shared" si="61"/>
        <v>0</v>
      </c>
      <c r="AX116" s="185">
        <f t="shared" si="62"/>
        <v>0</v>
      </c>
      <c r="AY116" s="185">
        <f t="shared" si="63"/>
        <v>0</v>
      </c>
      <c r="AZ116" s="185">
        <f t="shared" si="64"/>
        <v>0</v>
      </c>
      <c r="BA116" s="185">
        <f t="shared" si="65"/>
        <v>0</v>
      </c>
      <c r="BB116" s="185">
        <f t="shared" si="66"/>
        <v>0</v>
      </c>
      <c r="BC116" s="185">
        <f t="shared" si="67"/>
        <v>0</v>
      </c>
      <c r="BD116" s="185">
        <f t="shared" si="68"/>
        <v>0</v>
      </c>
      <c r="BE116" s="185">
        <f t="shared" si="69"/>
        <v>0</v>
      </c>
    </row>
    <row r="117" spans="1:57" s="90" customFormat="1" ht="15" hidden="1" customHeight="1" x14ac:dyDescent="0.25">
      <c r="A117" s="187" t="b">
        <v>1</v>
      </c>
      <c r="B117" s="188" t="b">
        <v>1</v>
      </c>
      <c r="C117" s="179" t="e">
        <f t="shared" si="47"/>
        <v>#N/A</v>
      </c>
      <c r="E117" s="180">
        <v>2088</v>
      </c>
      <c r="F117" s="100">
        <f t="shared" si="71"/>
        <v>130</v>
      </c>
      <c r="G117" s="181">
        <f t="shared" si="48"/>
        <v>-65</v>
      </c>
      <c r="H117" s="181" t="e">
        <f t="shared" si="70"/>
        <v>#N/A</v>
      </c>
      <c r="J117" s="182">
        <v>0</v>
      </c>
      <c r="K117" s="101"/>
      <c r="L117" s="183" t="e">
        <f t="shared" si="49"/>
        <v>#N/A</v>
      </c>
      <c r="M117" s="184"/>
      <c r="N117" s="91"/>
      <c r="O117" s="91"/>
      <c r="P117" s="90">
        <v>0</v>
      </c>
      <c r="Q117" s="87">
        <v>1</v>
      </c>
      <c r="R117" s="185">
        <v>0</v>
      </c>
      <c r="S117" s="185">
        <v>0</v>
      </c>
      <c r="T117" s="185">
        <v>0</v>
      </c>
      <c r="U117" s="185">
        <v>0</v>
      </c>
      <c r="V117" s="182">
        <v>0</v>
      </c>
      <c r="W117" s="182">
        <v>0</v>
      </c>
      <c r="X117" s="182">
        <v>0</v>
      </c>
      <c r="Y117" s="182">
        <v>0</v>
      </c>
      <c r="Z117" s="182">
        <v>0</v>
      </c>
      <c r="AA117" s="182">
        <v>0</v>
      </c>
      <c r="AB117" s="182">
        <v>0</v>
      </c>
      <c r="AC117" s="182">
        <v>0</v>
      </c>
      <c r="AD117" s="182">
        <v>0</v>
      </c>
      <c r="AE117" s="182">
        <v>0</v>
      </c>
      <c r="AF117" s="182">
        <v>0</v>
      </c>
      <c r="AG117" s="182">
        <v>0</v>
      </c>
      <c r="AH117" s="182">
        <v>0</v>
      </c>
      <c r="AI117" s="182">
        <v>0</v>
      </c>
      <c r="AJ117" s="182">
        <v>0</v>
      </c>
      <c r="AL117" s="185">
        <f t="shared" si="50"/>
        <v>1</v>
      </c>
      <c r="AM117" s="185">
        <f t="shared" si="51"/>
        <v>0</v>
      </c>
      <c r="AN117" s="185">
        <f t="shared" si="52"/>
        <v>0</v>
      </c>
      <c r="AO117" s="185">
        <f t="shared" si="53"/>
        <v>0</v>
      </c>
      <c r="AP117" s="185">
        <f t="shared" si="54"/>
        <v>0</v>
      </c>
      <c r="AQ117" s="185">
        <f t="shared" si="55"/>
        <v>0</v>
      </c>
      <c r="AR117" s="185">
        <f t="shared" si="56"/>
        <v>0</v>
      </c>
      <c r="AS117" s="185">
        <f t="shared" si="57"/>
        <v>0</v>
      </c>
      <c r="AT117" s="185">
        <f t="shared" si="58"/>
        <v>0</v>
      </c>
      <c r="AU117" s="185">
        <f t="shared" si="59"/>
        <v>0</v>
      </c>
      <c r="AV117" s="185">
        <f t="shared" si="60"/>
        <v>0</v>
      </c>
      <c r="AW117" s="185">
        <f t="shared" si="61"/>
        <v>0</v>
      </c>
      <c r="AX117" s="185">
        <f t="shared" si="62"/>
        <v>0</v>
      </c>
      <c r="AY117" s="185">
        <f t="shared" si="63"/>
        <v>0</v>
      </c>
      <c r="AZ117" s="185">
        <f t="shared" si="64"/>
        <v>0</v>
      </c>
      <c r="BA117" s="185">
        <f t="shared" si="65"/>
        <v>0</v>
      </c>
      <c r="BB117" s="185">
        <f t="shared" si="66"/>
        <v>0</v>
      </c>
      <c r="BC117" s="185">
        <f t="shared" si="67"/>
        <v>0</v>
      </c>
      <c r="BD117" s="185">
        <f t="shared" si="68"/>
        <v>0</v>
      </c>
      <c r="BE117" s="185">
        <f t="shared" si="69"/>
        <v>0</v>
      </c>
    </row>
    <row r="118" spans="1:57" s="90" customFormat="1" ht="15" hidden="1" customHeight="1" x14ac:dyDescent="0.25">
      <c r="A118" s="187" t="b">
        <v>1</v>
      </c>
      <c r="B118" s="188" t="b">
        <v>1</v>
      </c>
      <c r="C118" s="179" t="e">
        <f t="shared" si="47"/>
        <v>#N/A</v>
      </c>
      <c r="E118" s="180">
        <v>2089</v>
      </c>
      <c r="F118" s="100">
        <f t="shared" si="71"/>
        <v>131</v>
      </c>
      <c r="G118" s="181">
        <f t="shared" si="48"/>
        <v>-66</v>
      </c>
      <c r="H118" s="181" t="e">
        <f t="shared" si="70"/>
        <v>#N/A</v>
      </c>
      <c r="J118" s="182">
        <v>0</v>
      </c>
      <c r="K118" s="101"/>
      <c r="L118" s="183" t="e">
        <f t="shared" si="49"/>
        <v>#N/A</v>
      </c>
      <c r="M118" s="184"/>
      <c r="N118" s="91"/>
      <c r="O118" s="91"/>
      <c r="P118" s="90">
        <v>0</v>
      </c>
      <c r="Q118" s="87">
        <v>1</v>
      </c>
      <c r="R118" s="185">
        <v>0</v>
      </c>
      <c r="S118" s="185">
        <v>0</v>
      </c>
      <c r="T118" s="185">
        <v>0</v>
      </c>
      <c r="U118" s="185">
        <v>0</v>
      </c>
      <c r="V118" s="182">
        <v>0</v>
      </c>
      <c r="W118" s="182">
        <v>0</v>
      </c>
      <c r="X118" s="182">
        <v>0</v>
      </c>
      <c r="Y118" s="182">
        <v>0</v>
      </c>
      <c r="Z118" s="182">
        <v>0</v>
      </c>
      <c r="AA118" s="182">
        <v>0</v>
      </c>
      <c r="AB118" s="182">
        <v>0</v>
      </c>
      <c r="AC118" s="182">
        <v>0</v>
      </c>
      <c r="AD118" s="182">
        <v>0</v>
      </c>
      <c r="AE118" s="182">
        <v>0</v>
      </c>
      <c r="AF118" s="182">
        <v>0</v>
      </c>
      <c r="AG118" s="182">
        <v>0</v>
      </c>
      <c r="AH118" s="182">
        <v>0</v>
      </c>
      <c r="AI118" s="182">
        <v>0</v>
      </c>
      <c r="AJ118" s="182">
        <v>0</v>
      </c>
      <c r="AL118" s="185">
        <f t="shared" si="50"/>
        <v>1</v>
      </c>
      <c r="AM118" s="185">
        <f t="shared" si="51"/>
        <v>0</v>
      </c>
      <c r="AN118" s="185">
        <f t="shared" si="52"/>
        <v>0</v>
      </c>
      <c r="AO118" s="185">
        <f t="shared" si="53"/>
        <v>0</v>
      </c>
      <c r="AP118" s="185">
        <f t="shared" si="54"/>
        <v>0</v>
      </c>
      <c r="AQ118" s="185">
        <f t="shared" si="55"/>
        <v>0</v>
      </c>
      <c r="AR118" s="185">
        <f t="shared" si="56"/>
        <v>0</v>
      </c>
      <c r="AS118" s="185">
        <f t="shared" si="57"/>
        <v>0</v>
      </c>
      <c r="AT118" s="185">
        <f t="shared" si="58"/>
        <v>0</v>
      </c>
      <c r="AU118" s="185">
        <f t="shared" si="59"/>
        <v>0</v>
      </c>
      <c r="AV118" s="185">
        <f t="shared" si="60"/>
        <v>0</v>
      </c>
      <c r="AW118" s="185">
        <f t="shared" si="61"/>
        <v>0</v>
      </c>
      <c r="AX118" s="185">
        <f t="shared" si="62"/>
        <v>0</v>
      </c>
      <c r="AY118" s="185">
        <f t="shared" si="63"/>
        <v>0</v>
      </c>
      <c r="AZ118" s="185">
        <f t="shared" si="64"/>
        <v>0</v>
      </c>
      <c r="BA118" s="185">
        <f t="shared" si="65"/>
        <v>0</v>
      </c>
      <c r="BB118" s="185">
        <f t="shared" si="66"/>
        <v>0</v>
      </c>
      <c r="BC118" s="185">
        <f t="shared" si="67"/>
        <v>0</v>
      </c>
      <c r="BD118" s="185">
        <f t="shared" si="68"/>
        <v>0</v>
      </c>
      <c r="BE118" s="185">
        <f t="shared" si="69"/>
        <v>0</v>
      </c>
    </row>
    <row r="119" spans="1:57" s="90" customFormat="1" ht="15" hidden="1" customHeight="1" x14ac:dyDescent="0.25">
      <c r="A119" s="187" t="b">
        <v>1</v>
      </c>
      <c r="B119" s="188" t="b">
        <v>1</v>
      </c>
      <c r="C119" s="179" t="e">
        <f t="shared" si="47"/>
        <v>#N/A</v>
      </c>
      <c r="E119" s="180">
        <v>2090</v>
      </c>
      <c r="F119" s="100">
        <f t="shared" si="71"/>
        <v>132</v>
      </c>
      <c r="G119" s="181">
        <f t="shared" si="48"/>
        <v>-67</v>
      </c>
      <c r="H119" s="181" t="e">
        <f t="shared" si="70"/>
        <v>#N/A</v>
      </c>
      <c r="J119" s="182">
        <v>0</v>
      </c>
      <c r="K119" s="101"/>
      <c r="L119" s="183" t="e">
        <f t="shared" si="49"/>
        <v>#N/A</v>
      </c>
      <c r="M119" s="184"/>
      <c r="N119" s="91"/>
      <c r="O119" s="91"/>
      <c r="P119" s="90">
        <v>0</v>
      </c>
      <c r="Q119" s="87">
        <v>1</v>
      </c>
      <c r="R119" s="185">
        <v>0</v>
      </c>
      <c r="S119" s="185">
        <v>0</v>
      </c>
      <c r="T119" s="185">
        <v>0</v>
      </c>
      <c r="U119" s="185">
        <v>0</v>
      </c>
      <c r="V119" s="182">
        <v>0</v>
      </c>
      <c r="W119" s="182">
        <v>0</v>
      </c>
      <c r="X119" s="182">
        <v>0</v>
      </c>
      <c r="Y119" s="182">
        <v>0</v>
      </c>
      <c r="Z119" s="182">
        <v>0</v>
      </c>
      <c r="AA119" s="182">
        <v>0</v>
      </c>
      <c r="AB119" s="182">
        <v>0</v>
      </c>
      <c r="AC119" s="182">
        <v>0</v>
      </c>
      <c r="AD119" s="182">
        <v>0</v>
      </c>
      <c r="AE119" s="182">
        <v>0</v>
      </c>
      <c r="AF119" s="182">
        <v>0</v>
      </c>
      <c r="AG119" s="182">
        <v>0</v>
      </c>
      <c r="AH119" s="182">
        <v>0</v>
      </c>
      <c r="AI119" s="182">
        <v>0</v>
      </c>
      <c r="AJ119" s="182">
        <v>0</v>
      </c>
      <c r="AL119" s="185">
        <f t="shared" si="50"/>
        <v>1</v>
      </c>
      <c r="AM119" s="185">
        <f t="shared" si="51"/>
        <v>0</v>
      </c>
      <c r="AN119" s="185">
        <f t="shared" si="52"/>
        <v>0</v>
      </c>
      <c r="AO119" s="185">
        <f t="shared" si="53"/>
        <v>0</v>
      </c>
      <c r="AP119" s="185">
        <f t="shared" si="54"/>
        <v>0</v>
      </c>
      <c r="AQ119" s="185">
        <f t="shared" si="55"/>
        <v>0</v>
      </c>
      <c r="AR119" s="185">
        <f t="shared" si="56"/>
        <v>0</v>
      </c>
      <c r="AS119" s="185">
        <f t="shared" si="57"/>
        <v>0</v>
      </c>
      <c r="AT119" s="185">
        <f t="shared" si="58"/>
        <v>0</v>
      </c>
      <c r="AU119" s="185">
        <f t="shared" si="59"/>
        <v>0</v>
      </c>
      <c r="AV119" s="185">
        <f t="shared" si="60"/>
        <v>0</v>
      </c>
      <c r="AW119" s="185">
        <f t="shared" si="61"/>
        <v>0</v>
      </c>
      <c r="AX119" s="185">
        <f t="shared" si="62"/>
        <v>0</v>
      </c>
      <c r="AY119" s="185">
        <f t="shared" si="63"/>
        <v>0</v>
      </c>
      <c r="AZ119" s="185">
        <f t="shared" si="64"/>
        <v>0</v>
      </c>
      <c r="BA119" s="185">
        <f t="shared" si="65"/>
        <v>0</v>
      </c>
      <c r="BB119" s="185">
        <f t="shared" si="66"/>
        <v>0</v>
      </c>
      <c r="BC119" s="185">
        <f t="shared" si="67"/>
        <v>0</v>
      </c>
      <c r="BD119" s="185">
        <f t="shared" si="68"/>
        <v>0</v>
      </c>
      <c r="BE119" s="185">
        <f t="shared" si="69"/>
        <v>0</v>
      </c>
    </row>
    <row r="120" spans="1:57" s="90" customFormat="1" ht="15" hidden="1" customHeight="1" x14ac:dyDescent="0.25">
      <c r="A120" s="187" t="b">
        <v>1</v>
      </c>
      <c r="B120" s="188" t="b">
        <v>1</v>
      </c>
      <c r="C120" s="179" t="e">
        <f t="shared" si="47"/>
        <v>#N/A</v>
      </c>
      <c r="E120" s="180">
        <v>2091</v>
      </c>
      <c r="F120" s="100">
        <f t="shared" si="71"/>
        <v>133</v>
      </c>
      <c r="G120" s="181">
        <f t="shared" si="48"/>
        <v>-68</v>
      </c>
      <c r="H120" s="181" t="e">
        <f t="shared" si="70"/>
        <v>#N/A</v>
      </c>
      <c r="J120" s="182">
        <v>0</v>
      </c>
      <c r="K120" s="101"/>
      <c r="L120" s="183" t="e">
        <f t="shared" si="49"/>
        <v>#N/A</v>
      </c>
      <c r="M120" s="184"/>
      <c r="N120" s="91"/>
      <c r="O120" s="91"/>
      <c r="P120" s="90">
        <v>0</v>
      </c>
      <c r="Q120" s="87">
        <v>1</v>
      </c>
      <c r="R120" s="185">
        <v>0</v>
      </c>
      <c r="S120" s="185">
        <v>0</v>
      </c>
      <c r="T120" s="185">
        <v>0</v>
      </c>
      <c r="U120" s="185">
        <v>0</v>
      </c>
      <c r="V120" s="182">
        <v>0</v>
      </c>
      <c r="W120" s="182">
        <v>0</v>
      </c>
      <c r="X120" s="182">
        <v>0</v>
      </c>
      <c r="Y120" s="182">
        <v>0</v>
      </c>
      <c r="Z120" s="182">
        <v>0</v>
      </c>
      <c r="AA120" s="182">
        <v>0</v>
      </c>
      <c r="AB120" s="182">
        <v>0</v>
      </c>
      <c r="AC120" s="182">
        <v>0</v>
      </c>
      <c r="AD120" s="182">
        <v>0</v>
      </c>
      <c r="AE120" s="182">
        <v>0</v>
      </c>
      <c r="AF120" s="182">
        <v>0</v>
      </c>
      <c r="AG120" s="182">
        <v>0</v>
      </c>
      <c r="AH120" s="182">
        <v>0</v>
      </c>
      <c r="AI120" s="182">
        <v>0</v>
      </c>
      <c r="AJ120" s="182">
        <v>0</v>
      </c>
      <c r="AL120" s="185">
        <f t="shared" si="50"/>
        <v>1</v>
      </c>
      <c r="AM120" s="185">
        <f t="shared" si="51"/>
        <v>0</v>
      </c>
      <c r="AN120" s="185">
        <f t="shared" si="52"/>
        <v>0</v>
      </c>
      <c r="AO120" s="185">
        <f t="shared" si="53"/>
        <v>0</v>
      </c>
      <c r="AP120" s="185">
        <f t="shared" si="54"/>
        <v>0</v>
      </c>
      <c r="AQ120" s="185">
        <f t="shared" si="55"/>
        <v>0</v>
      </c>
      <c r="AR120" s="185">
        <f t="shared" si="56"/>
        <v>0</v>
      </c>
      <c r="AS120" s="185">
        <f t="shared" si="57"/>
        <v>0</v>
      </c>
      <c r="AT120" s="185">
        <f t="shared" si="58"/>
        <v>0</v>
      </c>
      <c r="AU120" s="185">
        <f t="shared" si="59"/>
        <v>0</v>
      </c>
      <c r="AV120" s="185">
        <f t="shared" si="60"/>
        <v>0</v>
      </c>
      <c r="AW120" s="185">
        <f t="shared" si="61"/>
        <v>0</v>
      </c>
      <c r="AX120" s="185">
        <f t="shared" si="62"/>
        <v>0</v>
      </c>
      <c r="AY120" s="185">
        <f t="shared" si="63"/>
        <v>0</v>
      </c>
      <c r="AZ120" s="185">
        <f t="shared" si="64"/>
        <v>0</v>
      </c>
      <c r="BA120" s="185">
        <f t="shared" si="65"/>
        <v>0</v>
      </c>
      <c r="BB120" s="185">
        <f t="shared" si="66"/>
        <v>0</v>
      </c>
      <c r="BC120" s="185">
        <f t="shared" si="67"/>
        <v>0</v>
      </c>
      <c r="BD120" s="185">
        <f t="shared" si="68"/>
        <v>0</v>
      </c>
      <c r="BE120" s="185">
        <f t="shared" si="69"/>
        <v>0</v>
      </c>
    </row>
    <row r="121" spans="1:57" s="90" customFormat="1" ht="15" hidden="1" customHeight="1" x14ac:dyDescent="0.25">
      <c r="A121" s="187" t="b">
        <v>1</v>
      </c>
      <c r="B121" s="188" t="b">
        <v>1</v>
      </c>
      <c r="C121" s="179" t="e">
        <f t="shared" si="47"/>
        <v>#N/A</v>
      </c>
      <c r="E121" s="180">
        <v>2092</v>
      </c>
      <c r="F121" s="100">
        <f t="shared" si="71"/>
        <v>134</v>
      </c>
      <c r="G121" s="181">
        <f t="shared" si="48"/>
        <v>-69</v>
      </c>
      <c r="H121" s="181" t="e">
        <f t="shared" si="70"/>
        <v>#N/A</v>
      </c>
      <c r="J121" s="182">
        <v>0</v>
      </c>
      <c r="K121" s="101"/>
      <c r="L121" s="183" t="e">
        <f t="shared" si="49"/>
        <v>#N/A</v>
      </c>
      <c r="M121" s="184"/>
      <c r="N121" s="91"/>
      <c r="O121" s="91"/>
      <c r="P121" s="90">
        <v>0</v>
      </c>
      <c r="Q121" s="87">
        <v>1</v>
      </c>
      <c r="R121" s="185">
        <v>0</v>
      </c>
      <c r="S121" s="185">
        <v>0</v>
      </c>
      <c r="T121" s="185">
        <v>0</v>
      </c>
      <c r="U121" s="185">
        <v>0</v>
      </c>
      <c r="V121" s="182">
        <v>0</v>
      </c>
      <c r="W121" s="182">
        <v>0</v>
      </c>
      <c r="X121" s="182">
        <v>0</v>
      </c>
      <c r="Y121" s="182">
        <v>0</v>
      </c>
      <c r="Z121" s="182">
        <v>0</v>
      </c>
      <c r="AA121" s="182">
        <v>0</v>
      </c>
      <c r="AB121" s="182">
        <v>0</v>
      </c>
      <c r="AC121" s="182">
        <v>0</v>
      </c>
      <c r="AD121" s="182">
        <v>0</v>
      </c>
      <c r="AE121" s="182">
        <v>0</v>
      </c>
      <c r="AF121" s="182">
        <v>0</v>
      </c>
      <c r="AG121" s="182">
        <v>0</v>
      </c>
      <c r="AH121" s="182">
        <v>0</v>
      </c>
      <c r="AI121" s="182">
        <v>0</v>
      </c>
      <c r="AJ121" s="182">
        <v>0</v>
      </c>
      <c r="AL121" s="185">
        <f t="shared" si="50"/>
        <v>1</v>
      </c>
      <c r="AM121" s="185">
        <f t="shared" si="51"/>
        <v>0</v>
      </c>
      <c r="AN121" s="185">
        <f t="shared" si="52"/>
        <v>0</v>
      </c>
      <c r="AO121" s="185">
        <f t="shared" si="53"/>
        <v>0</v>
      </c>
      <c r="AP121" s="185">
        <f t="shared" si="54"/>
        <v>0</v>
      </c>
      <c r="AQ121" s="185">
        <f t="shared" si="55"/>
        <v>0</v>
      </c>
      <c r="AR121" s="185">
        <f t="shared" si="56"/>
        <v>0</v>
      </c>
      <c r="AS121" s="185">
        <f t="shared" si="57"/>
        <v>0</v>
      </c>
      <c r="AT121" s="185">
        <f t="shared" si="58"/>
        <v>0</v>
      </c>
      <c r="AU121" s="185">
        <f t="shared" si="59"/>
        <v>0</v>
      </c>
      <c r="AV121" s="185">
        <f t="shared" si="60"/>
        <v>0</v>
      </c>
      <c r="AW121" s="185">
        <f t="shared" si="61"/>
        <v>0</v>
      </c>
      <c r="AX121" s="185">
        <f t="shared" si="62"/>
        <v>0</v>
      </c>
      <c r="AY121" s="185">
        <f t="shared" si="63"/>
        <v>0</v>
      </c>
      <c r="AZ121" s="185">
        <f t="shared" si="64"/>
        <v>0</v>
      </c>
      <c r="BA121" s="185">
        <f t="shared" si="65"/>
        <v>0</v>
      </c>
      <c r="BB121" s="185">
        <f t="shared" si="66"/>
        <v>0</v>
      </c>
      <c r="BC121" s="185">
        <f t="shared" si="67"/>
        <v>0</v>
      </c>
      <c r="BD121" s="185">
        <f t="shared" si="68"/>
        <v>0</v>
      </c>
      <c r="BE121" s="185">
        <f t="shared" si="69"/>
        <v>0</v>
      </c>
    </row>
    <row r="122" spans="1:57" s="90" customFormat="1" ht="15" hidden="1" customHeight="1" x14ac:dyDescent="0.25">
      <c r="A122" s="187" t="b">
        <v>1</v>
      </c>
      <c r="B122" s="188" t="b">
        <v>1</v>
      </c>
      <c r="C122" s="179" t="e">
        <f t="shared" si="47"/>
        <v>#N/A</v>
      </c>
      <c r="E122" s="180">
        <v>2093</v>
      </c>
      <c r="F122" s="100">
        <f t="shared" si="71"/>
        <v>135</v>
      </c>
      <c r="G122" s="181">
        <f t="shared" si="48"/>
        <v>-70</v>
      </c>
      <c r="H122" s="181" t="e">
        <f t="shared" si="70"/>
        <v>#N/A</v>
      </c>
      <c r="J122" s="182">
        <v>0</v>
      </c>
      <c r="K122" s="101"/>
      <c r="L122" s="183" t="e">
        <f t="shared" si="49"/>
        <v>#N/A</v>
      </c>
      <c r="M122" s="184"/>
      <c r="N122" s="91"/>
      <c r="O122" s="91"/>
      <c r="P122" s="90">
        <v>0</v>
      </c>
      <c r="Q122" s="87">
        <v>1</v>
      </c>
      <c r="R122" s="185">
        <v>0</v>
      </c>
      <c r="S122" s="185">
        <v>0</v>
      </c>
      <c r="T122" s="185">
        <v>0</v>
      </c>
      <c r="U122" s="185">
        <v>0</v>
      </c>
      <c r="V122" s="182">
        <v>0</v>
      </c>
      <c r="W122" s="182">
        <v>0</v>
      </c>
      <c r="X122" s="182">
        <v>0</v>
      </c>
      <c r="Y122" s="182">
        <v>0</v>
      </c>
      <c r="Z122" s="182">
        <v>0</v>
      </c>
      <c r="AA122" s="182">
        <v>0</v>
      </c>
      <c r="AB122" s="182">
        <v>0</v>
      </c>
      <c r="AC122" s="182">
        <v>0</v>
      </c>
      <c r="AD122" s="182">
        <v>0</v>
      </c>
      <c r="AE122" s="182">
        <v>0</v>
      </c>
      <c r="AF122" s="182">
        <v>0</v>
      </c>
      <c r="AG122" s="182">
        <v>0</v>
      </c>
      <c r="AH122" s="182">
        <v>0</v>
      </c>
      <c r="AI122" s="182">
        <v>0</v>
      </c>
      <c r="AJ122" s="182">
        <v>0</v>
      </c>
      <c r="AL122" s="185">
        <f t="shared" si="50"/>
        <v>1</v>
      </c>
      <c r="AM122" s="185">
        <f t="shared" si="51"/>
        <v>0</v>
      </c>
      <c r="AN122" s="185">
        <f t="shared" si="52"/>
        <v>0</v>
      </c>
      <c r="AO122" s="185">
        <f t="shared" si="53"/>
        <v>0</v>
      </c>
      <c r="AP122" s="185">
        <f t="shared" si="54"/>
        <v>0</v>
      </c>
      <c r="AQ122" s="185">
        <f t="shared" si="55"/>
        <v>0</v>
      </c>
      <c r="AR122" s="185">
        <f t="shared" si="56"/>
        <v>0</v>
      </c>
      <c r="AS122" s="185">
        <f t="shared" si="57"/>
        <v>0</v>
      </c>
      <c r="AT122" s="185">
        <f t="shared" si="58"/>
        <v>0</v>
      </c>
      <c r="AU122" s="185">
        <f t="shared" si="59"/>
        <v>0</v>
      </c>
      <c r="AV122" s="185">
        <f t="shared" si="60"/>
        <v>0</v>
      </c>
      <c r="AW122" s="185">
        <f t="shared" si="61"/>
        <v>0</v>
      </c>
      <c r="AX122" s="185">
        <f t="shared" si="62"/>
        <v>0</v>
      </c>
      <c r="AY122" s="185">
        <f t="shared" si="63"/>
        <v>0</v>
      </c>
      <c r="AZ122" s="185">
        <f t="shared" si="64"/>
        <v>0</v>
      </c>
      <c r="BA122" s="185">
        <f t="shared" si="65"/>
        <v>0</v>
      </c>
      <c r="BB122" s="185">
        <f t="shared" si="66"/>
        <v>0</v>
      </c>
      <c r="BC122" s="185">
        <f t="shared" si="67"/>
        <v>0</v>
      </c>
      <c r="BD122" s="185">
        <f t="shared" si="68"/>
        <v>0</v>
      </c>
      <c r="BE122" s="185">
        <f t="shared" si="69"/>
        <v>0</v>
      </c>
    </row>
    <row r="123" spans="1:57" s="90" customFormat="1" ht="15" hidden="1" customHeight="1" x14ac:dyDescent="0.25">
      <c r="A123" s="187" t="b">
        <v>1</v>
      </c>
      <c r="B123" s="188" t="b">
        <v>1</v>
      </c>
      <c r="C123" s="179" t="e">
        <f t="shared" si="47"/>
        <v>#N/A</v>
      </c>
      <c r="E123" s="180">
        <v>2094</v>
      </c>
      <c r="F123" s="100">
        <f t="shared" si="71"/>
        <v>136</v>
      </c>
      <c r="G123" s="181">
        <f t="shared" si="48"/>
        <v>-71</v>
      </c>
      <c r="H123" s="181" t="e">
        <f t="shared" si="70"/>
        <v>#N/A</v>
      </c>
      <c r="J123" s="182">
        <v>0</v>
      </c>
      <c r="K123" s="101"/>
      <c r="L123" s="183" t="e">
        <f t="shared" si="49"/>
        <v>#N/A</v>
      </c>
      <c r="M123" s="184"/>
      <c r="N123" s="91"/>
      <c r="O123" s="91"/>
      <c r="P123" s="90">
        <v>0</v>
      </c>
      <c r="Q123" s="87">
        <v>1</v>
      </c>
      <c r="R123" s="185">
        <v>0</v>
      </c>
      <c r="S123" s="185">
        <v>0</v>
      </c>
      <c r="T123" s="185">
        <v>0</v>
      </c>
      <c r="U123" s="185">
        <v>0</v>
      </c>
      <c r="V123" s="182">
        <v>0</v>
      </c>
      <c r="W123" s="182">
        <v>0</v>
      </c>
      <c r="X123" s="182">
        <v>0</v>
      </c>
      <c r="Y123" s="182">
        <v>0</v>
      </c>
      <c r="Z123" s="182">
        <v>0</v>
      </c>
      <c r="AA123" s="182">
        <v>0</v>
      </c>
      <c r="AB123" s="182">
        <v>0</v>
      </c>
      <c r="AC123" s="182">
        <v>0</v>
      </c>
      <c r="AD123" s="182">
        <v>0</v>
      </c>
      <c r="AE123" s="182">
        <v>0</v>
      </c>
      <c r="AF123" s="182">
        <v>0</v>
      </c>
      <c r="AG123" s="182">
        <v>0</v>
      </c>
      <c r="AH123" s="182">
        <v>0</v>
      </c>
      <c r="AI123" s="182">
        <v>0</v>
      </c>
      <c r="AJ123" s="182">
        <v>0</v>
      </c>
      <c r="AL123" s="185">
        <f t="shared" si="50"/>
        <v>1</v>
      </c>
      <c r="AM123" s="185">
        <f t="shared" si="51"/>
        <v>0</v>
      </c>
      <c r="AN123" s="185">
        <f t="shared" si="52"/>
        <v>0</v>
      </c>
      <c r="AO123" s="185">
        <f t="shared" si="53"/>
        <v>0</v>
      </c>
      <c r="AP123" s="185">
        <f t="shared" si="54"/>
        <v>0</v>
      </c>
      <c r="AQ123" s="185">
        <f t="shared" si="55"/>
        <v>0</v>
      </c>
      <c r="AR123" s="185">
        <f t="shared" si="56"/>
        <v>0</v>
      </c>
      <c r="AS123" s="185">
        <f t="shared" si="57"/>
        <v>0</v>
      </c>
      <c r="AT123" s="185">
        <f t="shared" si="58"/>
        <v>0</v>
      </c>
      <c r="AU123" s="185">
        <f t="shared" si="59"/>
        <v>0</v>
      </c>
      <c r="AV123" s="185">
        <f t="shared" si="60"/>
        <v>0</v>
      </c>
      <c r="AW123" s="185">
        <f t="shared" si="61"/>
        <v>0</v>
      </c>
      <c r="AX123" s="185">
        <f t="shared" si="62"/>
        <v>0</v>
      </c>
      <c r="AY123" s="185">
        <f t="shared" si="63"/>
        <v>0</v>
      </c>
      <c r="AZ123" s="185">
        <f t="shared" si="64"/>
        <v>0</v>
      </c>
      <c r="BA123" s="185">
        <f t="shared" si="65"/>
        <v>0</v>
      </c>
      <c r="BB123" s="185">
        <f t="shared" si="66"/>
        <v>0</v>
      </c>
      <c r="BC123" s="185">
        <f t="shared" si="67"/>
        <v>0</v>
      </c>
      <c r="BD123" s="185">
        <f t="shared" si="68"/>
        <v>0</v>
      </c>
      <c r="BE123" s="185">
        <f t="shared" si="69"/>
        <v>0</v>
      </c>
    </row>
    <row r="124" spans="1:57" s="90" customFormat="1" ht="15" hidden="1" customHeight="1" x14ac:dyDescent="0.25">
      <c r="A124" s="187" t="b">
        <v>1</v>
      </c>
      <c r="B124" s="188" t="b">
        <v>1</v>
      </c>
      <c r="C124" s="179" t="e">
        <f t="shared" si="47"/>
        <v>#N/A</v>
      </c>
      <c r="E124" s="180">
        <v>2095</v>
      </c>
      <c r="F124" s="100">
        <f t="shared" si="71"/>
        <v>137</v>
      </c>
      <c r="G124" s="181">
        <f t="shared" si="48"/>
        <v>-72</v>
      </c>
      <c r="H124" s="181" t="e">
        <f t="shared" si="70"/>
        <v>#N/A</v>
      </c>
      <c r="J124" s="182">
        <v>0</v>
      </c>
      <c r="K124" s="101"/>
      <c r="L124" s="183" t="e">
        <f t="shared" si="49"/>
        <v>#N/A</v>
      </c>
      <c r="M124" s="184"/>
      <c r="N124" s="91"/>
      <c r="O124" s="91"/>
      <c r="P124" s="90">
        <v>0</v>
      </c>
      <c r="Q124" s="87">
        <v>1</v>
      </c>
      <c r="R124" s="185">
        <v>0</v>
      </c>
      <c r="S124" s="185">
        <v>0</v>
      </c>
      <c r="T124" s="185">
        <v>0</v>
      </c>
      <c r="U124" s="185">
        <v>0</v>
      </c>
      <c r="V124" s="182">
        <v>0</v>
      </c>
      <c r="W124" s="182">
        <v>0</v>
      </c>
      <c r="X124" s="182">
        <v>0</v>
      </c>
      <c r="Y124" s="182">
        <v>0</v>
      </c>
      <c r="Z124" s="182">
        <v>0</v>
      </c>
      <c r="AA124" s="182">
        <v>0</v>
      </c>
      <c r="AB124" s="182">
        <v>0</v>
      </c>
      <c r="AC124" s="182">
        <v>0</v>
      </c>
      <c r="AD124" s="182">
        <v>0</v>
      </c>
      <c r="AE124" s="182">
        <v>0</v>
      </c>
      <c r="AF124" s="182">
        <v>0</v>
      </c>
      <c r="AG124" s="182">
        <v>0</v>
      </c>
      <c r="AH124" s="182">
        <v>0</v>
      </c>
      <c r="AI124" s="182">
        <v>0</v>
      </c>
      <c r="AJ124" s="182">
        <v>0</v>
      </c>
      <c r="AL124" s="185">
        <f t="shared" si="50"/>
        <v>1</v>
      </c>
      <c r="AM124" s="185">
        <f t="shared" si="51"/>
        <v>0</v>
      </c>
      <c r="AN124" s="185">
        <f t="shared" si="52"/>
        <v>0</v>
      </c>
      <c r="AO124" s="185">
        <f t="shared" si="53"/>
        <v>0</v>
      </c>
      <c r="AP124" s="185">
        <f t="shared" si="54"/>
        <v>0</v>
      </c>
      <c r="AQ124" s="185">
        <f t="shared" si="55"/>
        <v>0</v>
      </c>
      <c r="AR124" s="185">
        <f t="shared" si="56"/>
        <v>0</v>
      </c>
      <c r="AS124" s="185">
        <f t="shared" si="57"/>
        <v>0</v>
      </c>
      <c r="AT124" s="185">
        <f t="shared" si="58"/>
        <v>0</v>
      </c>
      <c r="AU124" s="185">
        <f t="shared" si="59"/>
        <v>0</v>
      </c>
      <c r="AV124" s="185">
        <f t="shared" si="60"/>
        <v>0</v>
      </c>
      <c r="AW124" s="185">
        <f t="shared" si="61"/>
        <v>0</v>
      </c>
      <c r="AX124" s="185">
        <f t="shared" si="62"/>
        <v>0</v>
      </c>
      <c r="AY124" s="185">
        <f t="shared" si="63"/>
        <v>0</v>
      </c>
      <c r="AZ124" s="185">
        <f t="shared" si="64"/>
        <v>0</v>
      </c>
      <c r="BA124" s="185">
        <f t="shared" si="65"/>
        <v>0</v>
      </c>
      <c r="BB124" s="185">
        <f t="shared" si="66"/>
        <v>0</v>
      </c>
      <c r="BC124" s="185">
        <f t="shared" si="67"/>
        <v>0</v>
      </c>
      <c r="BD124" s="185">
        <f t="shared" si="68"/>
        <v>0</v>
      </c>
      <c r="BE124" s="185">
        <f t="shared" si="69"/>
        <v>0</v>
      </c>
    </row>
    <row r="125" spans="1:57" s="90" customFormat="1" ht="15" hidden="1" customHeight="1" x14ac:dyDescent="0.25">
      <c r="A125" s="187" t="b">
        <v>1</v>
      </c>
      <c r="B125" s="188" t="b">
        <v>1</v>
      </c>
      <c r="C125" s="179" t="e">
        <f t="shared" si="47"/>
        <v>#N/A</v>
      </c>
      <c r="E125" s="180">
        <v>2096</v>
      </c>
      <c r="F125" s="100">
        <f t="shared" si="71"/>
        <v>138</v>
      </c>
      <c r="G125" s="181">
        <f t="shared" si="48"/>
        <v>-73</v>
      </c>
      <c r="H125" s="181" t="e">
        <f t="shared" si="70"/>
        <v>#N/A</v>
      </c>
      <c r="J125" s="182">
        <v>0</v>
      </c>
      <c r="K125" s="101"/>
      <c r="L125" s="183" t="e">
        <f t="shared" si="49"/>
        <v>#N/A</v>
      </c>
      <c r="M125" s="184"/>
      <c r="N125" s="91"/>
      <c r="O125" s="91"/>
      <c r="P125" s="90">
        <v>0</v>
      </c>
      <c r="Q125" s="87">
        <v>1</v>
      </c>
      <c r="R125" s="185">
        <v>0</v>
      </c>
      <c r="S125" s="185">
        <v>0</v>
      </c>
      <c r="T125" s="185">
        <v>0</v>
      </c>
      <c r="U125" s="185">
        <v>0</v>
      </c>
      <c r="V125" s="182">
        <v>0</v>
      </c>
      <c r="W125" s="182">
        <v>0</v>
      </c>
      <c r="X125" s="182">
        <v>0</v>
      </c>
      <c r="Y125" s="182">
        <v>0</v>
      </c>
      <c r="Z125" s="182">
        <v>0</v>
      </c>
      <c r="AA125" s="182">
        <v>0</v>
      </c>
      <c r="AB125" s="182">
        <v>0</v>
      </c>
      <c r="AC125" s="182">
        <v>0</v>
      </c>
      <c r="AD125" s="182">
        <v>0</v>
      </c>
      <c r="AE125" s="182">
        <v>0</v>
      </c>
      <c r="AF125" s="182">
        <v>0</v>
      </c>
      <c r="AG125" s="182">
        <v>0</v>
      </c>
      <c r="AH125" s="182">
        <v>0</v>
      </c>
      <c r="AI125" s="182">
        <v>0</v>
      </c>
      <c r="AJ125" s="182">
        <v>0</v>
      </c>
      <c r="AL125" s="185">
        <f t="shared" si="50"/>
        <v>1</v>
      </c>
      <c r="AM125" s="185">
        <f t="shared" si="51"/>
        <v>0</v>
      </c>
      <c r="AN125" s="185">
        <f t="shared" si="52"/>
        <v>0</v>
      </c>
      <c r="AO125" s="185">
        <f t="shared" si="53"/>
        <v>0</v>
      </c>
      <c r="AP125" s="185">
        <f t="shared" si="54"/>
        <v>0</v>
      </c>
      <c r="AQ125" s="185">
        <f t="shared" si="55"/>
        <v>0</v>
      </c>
      <c r="AR125" s="185">
        <f t="shared" si="56"/>
        <v>0</v>
      </c>
      <c r="AS125" s="185">
        <f t="shared" si="57"/>
        <v>0</v>
      </c>
      <c r="AT125" s="185">
        <f t="shared" si="58"/>
        <v>0</v>
      </c>
      <c r="AU125" s="185">
        <f t="shared" si="59"/>
        <v>0</v>
      </c>
      <c r="AV125" s="185">
        <f t="shared" si="60"/>
        <v>0</v>
      </c>
      <c r="AW125" s="185">
        <f t="shared" si="61"/>
        <v>0</v>
      </c>
      <c r="AX125" s="185">
        <f t="shared" si="62"/>
        <v>0</v>
      </c>
      <c r="AY125" s="185">
        <f t="shared" si="63"/>
        <v>0</v>
      </c>
      <c r="AZ125" s="185">
        <f t="shared" si="64"/>
        <v>0</v>
      </c>
      <c r="BA125" s="185">
        <f t="shared" si="65"/>
        <v>0</v>
      </c>
      <c r="BB125" s="185">
        <f t="shared" si="66"/>
        <v>0</v>
      </c>
      <c r="BC125" s="185">
        <f t="shared" si="67"/>
        <v>0</v>
      </c>
      <c r="BD125" s="185">
        <f t="shared" si="68"/>
        <v>0</v>
      </c>
      <c r="BE125" s="185">
        <f t="shared" si="69"/>
        <v>0</v>
      </c>
    </row>
    <row r="126" spans="1:57" s="90" customFormat="1" ht="15" hidden="1" customHeight="1" x14ac:dyDescent="0.25">
      <c r="A126" s="187" t="b">
        <v>1</v>
      </c>
      <c r="B126" s="188" t="b">
        <v>1</v>
      </c>
      <c r="C126" s="179" t="e">
        <f t="shared" si="47"/>
        <v>#N/A</v>
      </c>
      <c r="E126" s="180">
        <v>2097</v>
      </c>
      <c r="F126" s="100">
        <f t="shared" si="71"/>
        <v>139</v>
      </c>
      <c r="G126" s="181">
        <f t="shared" si="48"/>
        <v>-74</v>
      </c>
      <c r="H126" s="181" t="e">
        <f t="shared" si="70"/>
        <v>#N/A</v>
      </c>
      <c r="J126" s="182">
        <v>0</v>
      </c>
      <c r="K126" s="101"/>
      <c r="L126" s="183" t="e">
        <f t="shared" si="49"/>
        <v>#N/A</v>
      </c>
      <c r="M126" s="184"/>
      <c r="N126" s="91"/>
      <c r="O126" s="91"/>
      <c r="P126" s="90">
        <v>0</v>
      </c>
      <c r="Q126" s="87">
        <v>1</v>
      </c>
      <c r="R126" s="185">
        <v>0</v>
      </c>
      <c r="S126" s="185">
        <v>0</v>
      </c>
      <c r="T126" s="185">
        <v>0</v>
      </c>
      <c r="U126" s="185">
        <v>0</v>
      </c>
      <c r="V126" s="182">
        <v>0</v>
      </c>
      <c r="W126" s="182">
        <v>0</v>
      </c>
      <c r="X126" s="182">
        <v>0</v>
      </c>
      <c r="Y126" s="182">
        <v>0</v>
      </c>
      <c r="Z126" s="182">
        <v>0</v>
      </c>
      <c r="AA126" s="182">
        <v>0</v>
      </c>
      <c r="AB126" s="182">
        <v>0</v>
      </c>
      <c r="AC126" s="182">
        <v>0</v>
      </c>
      <c r="AD126" s="182">
        <v>0</v>
      </c>
      <c r="AE126" s="182">
        <v>0</v>
      </c>
      <c r="AF126" s="182">
        <v>0</v>
      </c>
      <c r="AG126" s="182">
        <v>0</v>
      </c>
      <c r="AH126" s="182">
        <v>0</v>
      </c>
      <c r="AI126" s="182">
        <v>0</v>
      </c>
      <c r="AJ126" s="182">
        <v>0</v>
      </c>
      <c r="AL126" s="185">
        <f t="shared" si="50"/>
        <v>1</v>
      </c>
      <c r="AM126" s="185">
        <f t="shared" si="51"/>
        <v>0</v>
      </c>
      <c r="AN126" s="185">
        <f t="shared" si="52"/>
        <v>0</v>
      </c>
      <c r="AO126" s="185">
        <f t="shared" si="53"/>
        <v>0</v>
      </c>
      <c r="AP126" s="185">
        <f t="shared" si="54"/>
        <v>0</v>
      </c>
      <c r="AQ126" s="185">
        <f t="shared" si="55"/>
        <v>0</v>
      </c>
      <c r="AR126" s="185">
        <f t="shared" si="56"/>
        <v>0</v>
      </c>
      <c r="AS126" s="185">
        <f t="shared" si="57"/>
        <v>0</v>
      </c>
      <c r="AT126" s="185">
        <f t="shared" si="58"/>
        <v>0</v>
      </c>
      <c r="AU126" s="185">
        <f t="shared" si="59"/>
        <v>0</v>
      </c>
      <c r="AV126" s="185">
        <f t="shared" si="60"/>
        <v>0</v>
      </c>
      <c r="AW126" s="185">
        <f t="shared" si="61"/>
        <v>0</v>
      </c>
      <c r="AX126" s="185">
        <f t="shared" si="62"/>
        <v>0</v>
      </c>
      <c r="AY126" s="185">
        <f t="shared" si="63"/>
        <v>0</v>
      </c>
      <c r="AZ126" s="185">
        <f t="shared" si="64"/>
        <v>0</v>
      </c>
      <c r="BA126" s="185">
        <f t="shared" si="65"/>
        <v>0</v>
      </c>
      <c r="BB126" s="185">
        <f t="shared" si="66"/>
        <v>0</v>
      </c>
      <c r="BC126" s="185">
        <f t="shared" si="67"/>
        <v>0</v>
      </c>
      <c r="BD126" s="185">
        <f t="shared" si="68"/>
        <v>0</v>
      </c>
      <c r="BE126" s="185">
        <f t="shared" si="69"/>
        <v>0</v>
      </c>
    </row>
    <row r="127" spans="1:57" s="90" customFormat="1" ht="15" hidden="1" customHeight="1" x14ac:dyDescent="0.25">
      <c r="A127" s="187" t="b">
        <v>1</v>
      </c>
      <c r="B127" s="188" t="b">
        <v>1</v>
      </c>
      <c r="C127" s="179" t="e">
        <f t="shared" si="47"/>
        <v>#N/A</v>
      </c>
      <c r="E127" s="180">
        <v>2098</v>
      </c>
      <c r="F127" s="100">
        <f t="shared" si="71"/>
        <v>140</v>
      </c>
      <c r="G127" s="181">
        <f t="shared" si="48"/>
        <v>-75</v>
      </c>
      <c r="H127" s="181" t="e">
        <f t="shared" si="70"/>
        <v>#N/A</v>
      </c>
      <c r="J127" s="182">
        <v>0</v>
      </c>
      <c r="K127" s="101"/>
      <c r="L127" s="183" t="e">
        <f t="shared" si="49"/>
        <v>#N/A</v>
      </c>
      <c r="M127" s="184"/>
      <c r="N127" s="91"/>
      <c r="O127" s="91"/>
      <c r="P127" s="90">
        <v>0</v>
      </c>
      <c r="Q127" s="87">
        <v>1</v>
      </c>
      <c r="R127" s="185">
        <v>0</v>
      </c>
      <c r="S127" s="185">
        <v>0</v>
      </c>
      <c r="T127" s="185">
        <v>0</v>
      </c>
      <c r="U127" s="185">
        <v>0</v>
      </c>
      <c r="V127" s="182">
        <v>0</v>
      </c>
      <c r="W127" s="182">
        <v>0</v>
      </c>
      <c r="X127" s="182">
        <v>0</v>
      </c>
      <c r="Y127" s="182">
        <v>0</v>
      </c>
      <c r="Z127" s="182">
        <v>0</v>
      </c>
      <c r="AA127" s="182">
        <v>0</v>
      </c>
      <c r="AB127" s="182">
        <v>0</v>
      </c>
      <c r="AC127" s="182">
        <v>0</v>
      </c>
      <c r="AD127" s="182">
        <v>0</v>
      </c>
      <c r="AE127" s="182">
        <v>0</v>
      </c>
      <c r="AF127" s="182">
        <v>0</v>
      </c>
      <c r="AG127" s="182">
        <v>0</v>
      </c>
      <c r="AH127" s="182">
        <v>0</v>
      </c>
      <c r="AI127" s="182">
        <v>0</v>
      </c>
      <c r="AJ127" s="182">
        <v>0</v>
      </c>
      <c r="AL127" s="185">
        <f t="shared" si="50"/>
        <v>1</v>
      </c>
      <c r="AM127" s="185">
        <f t="shared" si="51"/>
        <v>0</v>
      </c>
      <c r="AN127" s="185">
        <f t="shared" si="52"/>
        <v>0</v>
      </c>
      <c r="AO127" s="185">
        <f t="shared" si="53"/>
        <v>0</v>
      </c>
      <c r="AP127" s="185">
        <f t="shared" si="54"/>
        <v>0</v>
      </c>
      <c r="AQ127" s="185">
        <f t="shared" si="55"/>
        <v>0</v>
      </c>
      <c r="AR127" s="185">
        <f t="shared" si="56"/>
        <v>0</v>
      </c>
      <c r="AS127" s="185">
        <f t="shared" si="57"/>
        <v>0</v>
      </c>
      <c r="AT127" s="185">
        <f t="shared" si="58"/>
        <v>0</v>
      </c>
      <c r="AU127" s="185">
        <f t="shared" si="59"/>
        <v>0</v>
      </c>
      <c r="AV127" s="185">
        <f t="shared" si="60"/>
        <v>0</v>
      </c>
      <c r="AW127" s="185">
        <f t="shared" si="61"/>
        <v>0</v>
      </c>
      <c r="AX127" s="185">
        <f t="shared" si="62"/>
        <v>0</v>
      </c>
      <c r="AY127" s="185">
        <f t="shared" si="63"/>
        <v>0</v>
      </c>
      <c r="AZ127" s="185">
        <f t="shared" si="64"/>
        <v>0</v>
      </c>
      <c r="BA127" s="185">
        <f t="shared" si="65"/>
        <v>0</v>
      </c>
      <c r="BB127" s="185">
        <f t="shared" si="66"/>
        <v>0</v>
      </c>
      <c r="BC127" s="185">
        <f t="shared" si="67"/>
        <v>0</v>
      </c>
      <c r="BD127" s="185">
        <f t="shared" si="68"/>
        <v>0</v>
      </c>
      <c r="BE127" s="185">
        <f t="shared" si="69"/>
        <v>0</v>
      </c>
    </row>
    <row r="128" spans="1:57" s="90" customFormat="1" ht="15" hidden="1" customHeight="1" x14ac:dyDescent="0.25">
      <c r="A128" s="187" t="b">
        <v>1</v>
      </c>
      <c r="B128" s="188" t="b">
        <v>1</v>
      </c>
      <c r="C128" s="179" t="e">
        <f t="shared" si="47"/>
        <v>#N/A</v>
      </c>
      <c r="E128" s="180">
        <v>2099</v>
      </c>
      <c r="F128" s="100">
        <f t="shared" si="71"/>
        <v>141</v>
      </c>
      <c r="G128" s="181">
        <f t="shared" si="48"/>
        <v>-76</v>
      </c>
      <c r="H128" s="181" t="e">
        <f t="shared" si="70"/>
        <v>#N/A</v>
      </c>
      <c r="J128" s="182">
        <v>0</v>
      </c>
      <c r="K128" s="101"/>
      <c r="L128" s="183" t="e">
        <f t="shared" si="49"/>
        <v>#N/A</v>
      </c>
      <c r="M128" s="184"/>
      <c r="N128" s="91"/>
      <c r="O128" s="91"/>
      <c r="P128" s="90">
        <v>0</v>
      </c>
      <c r="Q128" s="87">
        <v>1</v>
      </c>
      <c r="R128" s="185">
        <v>0</v>
      </c>
      <c r="S128" s="185">
        <v>0</v>
      </c>
      <c r="T128" s="185">
        <v>0</v>
      </c>
      <c r="U128" s="185">
        <v>0</v>
      </c>
      <c r="V128" s="182">
        <v>0</v>
      </c>
      <c r="W128" s="182">
        <v>0</v>
      </c>
      <c r="X128" s="182">
        <v>0</v>
      </c>
      <c r="Y128" s="182">
        <v>0</v>
      </c>
      <c r="Z128" s="182">
        <v>0</v>
      </c>
      <c r="AA128" s="182">
        <v>0</v>
      </c>
      <c r="AB128" s="182">
        <v>0</v>
      </c>
      <c r="AC128" s="182">
        <v>0</v>
      </c>
      <c r="AD128" s="182">
        <v>0</v>
      </c>
      <c r="AE128" s="182">
        <v>0</v>
      </c>
      <c r="AF128" s="182">
        <v>0</v>
      </c>
      <c r="AG128" s="182">
        <v>0</v>
      </c>
      <c r="AH128" s="182">
        <v>0</v>
      </c>
      <c r="AI128" s="182">
        <v>0</v>
      </c>
      <c r="AJ128" s="182">
        <v>0</v>
      </c>
      <c r="AL128" s="185">
        <f t="shared" si="50"/>
        <v>1</v>
      </c>
      <c r="AM128" s="185">
        <f t="shared" si="51"/>
        <v>0</v>
      </c>
      <c r="AN128" s="185">
        <f t="shared" si="52"/>
        <v>0</v>
      </c>
      <c r="AO128" s="185">
        <f t="shared" si="53"/>
        <v>0</v>
      </c>
      <c r="AP128" s="185">
        <f t="shared" si="54"/>
        <v>0</v>
      </c>
      <c r="AQ128" s="185">
        <f t="shared" si="55"/>
        <v>0</v>
      </c>
      <c r="AR128" s="185">
        <f t="shared" si="56"/>
        <v>0</v>
      </c>
      <c r="AS128" s="185">
        <f t="shared" si="57"/>
        <v>0</v>
      </c>
      <c r="AT128" s="185">
        <f t="shared" si="58"/>
        <v>0</v>
      </c>
      <c r="AU128" s="185">
        <f t="shared" si="59"/>
        <v>0</v>
      </c>
      <c r="AV128" s="185">
        <f t="shared" si="60"/>
        <v>0</v>
      </c>
      <c r="AW128" s="185">
        <f t="shared" si="61"/>
        <v>0</v>
      </c>
      <c r="AX128" s="185">
        <f t="shared" si="62"/>
        <v>0</v>
      </c>
      <c r="AY128" s="185">
        <f t="shared" si="63"/>
        <v>0</v>
      </c>
      <c r="AZ128" s="185">
        <f t="shared" si="64"/>
        <v>0</v>
      </c>
      <c r="BA128" s="185">
        <f t="shared" si="65"/>
        <v>0</v>
      </c>
      <c r="BB128" s="185">
        <f t="shared" si="66"/>
        <v>0</v>
      </c>
      <c r="BC128" s="185">
        <f t="shared" si="67"/>
        <v>0</v>
      </c>
      <c r="BD128" s="185">
        <f t="shared" si="68"/>
        <v>0</v>
      </c>
      <c r="BE128" s="185">
        <f t="shared" si="69"/>
        <v>0</v>
      </c>
    </row>
    <row r="129" spans="1:57" s="90" customFormat="1" ht="15" hidden="1" customHeight="1" x14ac:dyDescent="0.25">
      <c r="A129" s="187" t="b">
        <v>1</v>
      </c>
      <c r="B129" s="188" t="b">
        <v>1</v>
      </c>
      <c r="C129" s="179" t="e">
        <f t="shared" si="47"/>
        <v>#N/A</v>
      </c>
      <c r="E129" s="180">
        <v>2100</v>
      </c>
      <c r="F129" s="100">
        <f t="shared" si="71"/>
        <v>142</v>
      </c>
      <c r="G129" s="181">
        <f t="shared" si="48"/>
        <v>-77</v>
      </c>
      <c r="H129" s="181" t="e">
        <f t="shared" si="70"/>
        <v>#N/A</v>
      </c>
      <c r="J129" s="182">
        <v>0</v>
      </c>
      <c r="K129" s="101"/>
      <c r="L129" s="183" t="e">
        <f t="shared" si="49"/>
        <v>#N/A</v>
      </c>
      <c r="M129" s="184"/>
      <c r="N129" s="91"/>
      <c r="O129" s="91"/>
      <c r="P129" s="90">
        <v>0</v>
      </c>
      <c r="Q129" s="87">
        <v>1</v>
      </c>
      <c r="R129" s="185">
        <v>0</v>
      </c>
      <c r="S129" s="185">
        <v>0</v>
      </c>
      <c r="T129" s="185">
        <v>0</v>
      </c>
      <c r="U129" s="185">
        <v>0</v>
      </c>
      <c r="V129" s="182">
        <v>0</v>
      </c>
      <c r="W129" s="182">
        <v>0</v>
      </c>
      <c r="X129" s="182">
        <v>0</v>
      </c>
      <c r="Y129" s="182">
        <v>0</v>
      </c>
      <c r="Z129" s="182">
        <v>0</v>
      </c>
      <c r="AA129" s="182">
        <v>0</v>
      </c>
      <c r="AB129" s="182">
        <v>0</v>
      </c>
      <c r="AC129" s="182">
        <v>0</v>
      </c>
      <c r="AD129" s="182">
        <v>0</v>
      </c>
      <c r="AE129" s="182">
        <v>0</v>
      </c>
      <c r="AF129" s="182">
        <v>0</v>
      </c>
      <c r="AG129" s="182">
        <v>0</v>
      </c>
      <c r="AH129" s="182">
        <v>0</v>
      </c>
      <c r="AI129" s="182">
        <v>0</v>
      </c>
      <c r="AJ129" s="182">
        <v>0</v>
      </c>
      <c r="AL129" s="185">
        <f t="shared" si="50"/>
        <v>1</v>
      </c>
      <c r="AM129" s="185">
        <f t="shared" si="51"/>
        <v>0</v>
      </c>
      <c r="AN129" s="185">
        <f t="shared" si="52"/>
        <v>0</v>
      </c>
      <c r="AO129" s="185">
        <f t="shared" si="53"/>
        <v>0</v>
      </c>
      <c r="AP129" s="185">
        <f t="shared" si="54"/>
        <v>0</v>
      </c>
      <c r="AQ129" s="185">
        <f t="shared" si="55"/>
        <v>0</v>
      </c>
      <c r="AR129" s="185">
        <f t="shared" si="56"/>
        <v>0</v>
      </c>
      <c r="AS129" s="185">
        <f t="shared" si="57"/>
        <v>0</v>
      </c>
      <c r="AT129" s="185">
        <f t="shared" si="58"/>
        <v>0</v>
      </c>
      <c r="AU129" s="185">
        <f t="shared" si="59"/>
        <v>0</v>
      </c>
      <c r="AV129" s="185">
        <f t="shared" si="60"/>
        <v>0</v>
      </c>
      <c r="AW129" s="185">
        <f t="shared" si="61"/>
        <v>0</v>
      </c>
      <c r="AX129" s="185">
        <f t="shared" si="62"/>
        <v>0</v>
      </c>
      <c r="AY129" s="185">
        <f t="shared" si="63"/>
        <v>0</v>
      </c>
      <c r="AZ129" s="185">
        <f t="shared" si="64"/>
        <v>0</v>
      </c>
      <c r="BA129" s="185">
        <f t="shared" si="65"/>
        <v>0</v>
      </c>
      <c r="BB129" s="185">
        <f t="shared" si="66"/>
        <v>0</v>
      </c>
      <c r="BC129" s="185">
        <f t="shared" si="67"/>
        <v>0</v>
      </c>
      <c r="BD129" s="185">
        <f t="shared" si="68"/>
        <v>0</v>
      </c>
      <c r="BE129" s="185">
        <f t="shared" si="69"/>
        <v>0</v>
      </c>
    </row>
    <row r="130" spans="1:57" s="90" customFormat="1" ht="15" hidden="1" customHeight="1" x14ac:dyDescent="0.25">
      <c r="A130" s="187" t="b">
        <v>1</v>
      </c>
      <c r="B130" s="188" t="b">
        <v>1</v>
      </c>
      <c r="C130" s="179" t="e">
        <f t="shared" si="47"/>
        <v>#N/A</v>
      </c>
      <c r="E130" s="180">
        <v>2101</v>
      </c>
      <c r="F130" s="100">
        <f t="shared" si="71"/>
        <v>143</v>
      </c>
      <c r="G130" s="181">
        <f t="shared" si="48"/>
        <v>-78</v>
      </c>
      <c r="H130" s="181" t="e">
        <f t="shared" si="70"/>
        <v>#N/A</v>
      </c>
      <c r="J130" s="182">
        <v>0</v>
      </c>
      <c r="K130" s="101"/>
      <c r="L130" s="183" t="e">
        <f t="shared" si="49"/>
        <v>#N/A</v>
      </c>
      <c r="M130" s="184"/>
      <c r="N130" s="91"/>
      <c r="O130" s="91"/>
      <c r="P130" s="90">
        <v>0</v>
      </c>
      <c r="Q130" s="87">
        <v>1</v>
      </c>
      <c r="R130" s="185">
        <v>0</v>
      </c>
      <c r="S130" s="185">
        <v>0</v>
      </c>
      <c r="T130" s="185">
        <v>0</v>
      </c>
      <c r="U130" s="185">
        <v>0</v>
      </c>
      <c r="V130" s="182">
        <v>0</v>
      </c>
      <c r="W130" s="182">
        <v>0</v>
      </c>
      <c r="X130" s="182">
        <v>0</v>
      </c>
      <c r="Y130" s="182">
        <v>0</v>
      </c>
      <c r="Z130" s="182">
        <v>0</v>
      </c>
      <c r="AA130" s="182">
        <v>0</v>
      </c>
      <c r="AB130" s="182">
        <v>0</v>
      </c>
      <c r="AC130" s="182">
        <v>0</v>
      </c>
      <c r="AD130" s="182">
        <v>0</v>
      </c>
      <c r="AE130" s="182">
        <v>0</v>
      </c>
      <c r="AF130" s="182">
        <v>0</v>
      </c>
      <c r="AG130" s="182">
        <v>0</v>
      </c>
      <c r="AH130" s="182">
        <v>0</v>
      </c>
      <c r="AI130" s="182">
        <v>0</v>
      </c>
      <c r="AJ130" s="182">
        <v>0</v>
      </c>
      <c r="AL130" s="185">
        <f t="shared" si="50"/>
        <v>1</v>
      </c>
      <c r="AM130" s="185">
        <f t="shared" si="51"/>
        <v>0</v>
      </c>
      <c r="AN130" s="185">
        <f t="shared" si="52"/>
        <v>0</v>
      </c>
      <c r="AO130" s="185">
        <f t="shared" si="53"/>
        <v>0</v>
      </c>
      <c r="AP130" s="185">
        <f t="shared" si="54"/>
        <v>0</v>
      </c>
      <c r="AQ130" s="185">
        <f t="shared" si="55"/>
        <v>0</v>
      </c>
      <c r="AR130" s="185">
        <f t="shared" si="56"/>
        <v>0</v>
      </c>
      <c r="AS130" s="185">
        <f t="shared" si="57"/>
        <v>0</v>
      </c>
      <c r="AT130" s="185">
        <f t="shared" si="58"/>
        <v>0</v>
      </c>
      <c r="AU130" s="185">
        <f t="shared" si="59"/>
        <v>0</v>
      </c>
      <c r="AV130" s="185">
        <f t="shared" si="60"/>
        <v>0</v>
      </c>
      <c r="AW130" s="185">
        <f t="shared" si="61"/>
        <v>0</v>
      </c>
      <c r="AX130" s="185">
        <f t="shared" si="62"/>
        <v>0</v>
      </c>
      <c r="AY130" s="185">
        <f t="shared" si="63"/>
        <v>0</v>
      </c>
      <c r="AZ130" s="185">
        <f t="shared" si="64"/>
        <v>0</v>
      </c>
      <c r="BA130" s="185">
        <f t="shared" si="65"/>
        <v>0</v>
      </c>
      <c r="BB130" s="185">
        <f t="shared" si="66"/>
        <v>0</v>
      </c>
      <c r="BC130" s="185">
        <f t="shared" si="67"/>
        <v>0</v>
      </c>
      <c r="BD130" s="185">
        <f t="shared" si="68"/>
        <v>0</v>
      </c>
      <c r="BE130" s="185">
        <f t="shared" si="69"/>
        <v>0</v>
      </c>
    </row>
    <row r="131" spans="1:57" s="90" customFormat="1" ht="15" hidden="1" customHeight="1" x14ac:dyDescent="0.25">
      <c r="A131" s="187" t="b">
        <v>1</v>
      </c>
      <c r="B131" s="188" t="b">
        <v>1</v>
      </c>
      <c r="C131" s="179" t="e">
        <f t="shared" si="47"/>
        <v>#N/A</v>
      </c>
      <c r="E131" s="180">
        <v>2102</v>
      </c>
      <c r="F131" s="100">
        <f t="shared" si="71"/>
        <v>144</v>
      </c>
      <c r="G131" s="181">
        <f t="shared" si="48"/>
        <v>-79</v>
      </c>
      <c r="H131" s="181" t="e">
        <f t="shared" si="70"/>
        <v>#N/A</v>
      </c>
      <c r="J131" s="182">
        <v>0</v>
      </c>
      <c r="K131" s="101"/>
      <c r="L131" s="183" t="e">
        <f t="shared" si="49"/>
        <v>#N/A</v>
      </c>
      <c r="M131" s="184"/>
      <c r="N131" s="91"/>
      <c r="O131" s="91"/>
      <c r="P131" s="90">
        <v>0</v>
      </c>
      <c r="Q131" s="87">
        <v>1</v>
      </c>
      <c r="R131" s="185">
        <v>0</v>
      </c>
      <c r="S131" s="185">
        <v>0</v>
      </c>
      <c r="T131" s="185">
        <v>0</v>
      </c>
      <c r="U131" s="185">
        <v>0</v>
      </c>
      <c r="V131" s="182">
        <v>0</v>
      </c>
      <c r="W131" s="182">
        <v>0</v>
      </c>
      <c r="X131" s="182">
        <v>0</v>
      </c>
      <c r="Y131" s="182">
        <v>0</v>
      </c>
      <c r="Z131" s="182">
        <v>0</v>
      </c>
      <c r="AA131" s="182">
        <v>0</v>
      </c>
      <c r="AB131" s="182">
        <v>0</v>
      </c>
      <c r="AC131" s="182">
        <v>0</v>
      </c>
      <c r="AD131" s="182">
        <v>0</v>
      </c>
      <c r="AE131" s="182">
        <v>0</v>
      </c>
      <c r="AF131" s="182">
        <v>0</v>
      </c>
      <c r="AG131" s="182">
        <v>0</v>
      </c>
      <c r="AH131" s="182">
        <v>0</v>
      </c>
      <c r="AI131" s="182">
        <v>0</v>
      </c>
      <c r="AJ131" s="182">
        <v>0</v>
      </c>
      <c r="AL131" s="185">
        <f t="shared" si="50"/>
        <v>1</v>
      </c>
      <c r="AM131" s="185">
        <f t="shared" si="51"/>
        <v>0</v>
      </c>
      <c r="AN131" s="185">
        <f t="shared" si="52"/>
        <v>0</v>
      </c>
      <c r="AO131" s="185">
        <f t="shared" si="53"/>
        <v>0</v>
      </c>
      <c r="AP131" s="185">
        <f t="shared" si="54"/>
        <v>0</v>
      </c>
      <c r="AQ131" s="185">
        <f t="shared" si="55"/>
        <v>0</v>
      </c>
      <c r="AR131" s="185">
        <f t="shared" si="56"/>
        <v>0</v>
      </c>
      <c r="AS131" s="185">
        <f t="shared" si="57"/>
        <v>0</v>
      </c>
      <c r="AT131" s="185">
        <f t="shared" si="58"/>
        <v>0</v>
      </c>
      <c r="AU131" s="185">
        <f t="shared" si="59"/>
        <v>0</v>
      </c>
      <c r="AV131" s="185">
        <f t="shared" si="60"/>
        <v>0</v>
      </c>
      <c r="AW131" s="185">
        <f t="shared" si="61"/>
        <v>0</v>
      </c>
      <c r="AX131" s="185">
        <f t="shared" si="62"/>
        <v>0</v>
      </c>
      <c r="AY131" s="185">
        <f t="shared" si="63"/>
        <v>0</v>
      </c>
      <c r="AZ131" s="185">
        <f t="shared" si="64"/>
        <v>0</v>
      </c>
      <c r="BA131" s="185">
        <f t="shared" si="65"/>
        <v>0</v>
      </c>
      <c r="BB131" s="185">
        <f t="shared" si="66"/>
        <v>0</v>
      </c>
      <c r="BC131" s="185">
        <f t="shared" si="67"/>
        <v>0</v>
      </c>
      <c r="BD131" s="185">
        <f t="shared" si="68"/>
        <v>0</v>
      </c>
      <c r="BE131" s="185">
        <f t="shared" si="69"/>
        <v>0</v>
      </c>
    </row>
    <row r="132" spans="1:57" s="90" customFormat="1" ht="15" hidden="1" customHeight="1" x14ac:dyDescent="0.25">
      <c r="A132" s="187" t="b">
        <v>1</v>
      </c>
      <c r="B132" s="188" t="b">
        <v>1</v>
      </c>
      <c r="C132" s="179" t="e">
        <f t="shared" si="47"/>
        <v>#N/A</v>
      </c>
      <c r="E132" s="180">
        <v>2103</v>
      </c>
      <c r="F132" s="100">
        <f t="shared" si="71"/>
        <v>145</v>
      </c>
      <c r="G132" s="181">
        <f t="shared" si="48"/>
        <v>-80</v>
      </c>
      <c r="H132" s="181" t="e">
        <f t="shared" si="70"/>
        <v>#N/A</v>
      </c>
      <c r="J132" s="182">
        <v>0</v>
      </c>
      <c r="K132" s="101"/>
      <c r="L132" s="183" t="e">
        <f t="shared" si="49"/>
        <v>#N/A</v>
      </c>
      <c r="M132" s="184"/>
      <c r="N132" s="91"/>
      <c r="O132" s="91"/>
      <c r="P132" s="90">
        <v>0</v>
      </c>
      <c r="Q132" s="87">
        <v>1</v>
      </c>
      <c r="R132" s="185">
        <v>0</v>
      </c>
      <c r="S132" s="185">
        <v>0</v>
      </c>
      <c r="T132" s="185">
        <v>0</v>
      </c>
      <c r="U132" s="185">
        <v>0</v>
      </c>
      <c r="V132" s="182">
        <v>0</v>
      </c>
      <c r="W132" s="182">
        <v>0</v>
      </c>
      <c r="X132" s="182">
        <v>0</v>
      </c>
      <c r="Y132" s="182">
        <v>0</v>
      </c>
      <c r="Z132" s="182">
        <v>0</v>
      </c>
      <c r="AA132" s="182">
        <v>0</v>
      </c>
      <c r="AB132" s="182">
        <v>0</v>
      </c>
      <c r="AC132" s="182">
        <v>0</v>
      </c>
      <c r="AD132" s="182">
        <v>0</v>
      </c>
      <c r="AE132" s="182">
        <v>0</v>
      </c>
      <c r="AF132" s="182">
        <v>0</v>
      </c>
      <c r="AG132" s="182">
        <v>0</v>
      </c>
      <c r="AH132" s="182">
        <v>0</v>
      </c>
      <c r="AI132" s="182">
        <v>0</v>
      </c>
      <c r="AJ132" s="182">
        <v>0</v>
      </c>
      <c r="AL132" s="185">
        <f t="shared" si="50"/>
        <v>1</v>
      </c>
      <c r="AM132" s="185">
        <f t="shared" si="51"/>
        <v>0</v>
      </c>
      <c r="AN132" s="185">
        <f t="shared" si="52"/>
        <v>0</v>
      </c>
      <c r="AO132" s="185">
        <f t="shared" si="53"/>
        <v>0</v>
      </c>
      <c r="AP132" s="185">
        <f t="shared" si="54"/>
        <v>0</v>
      </c>
      <c r="AQ132" s="185">
        <f t="shared" si="55"/>
        <v>0</v>
      </c>
      <c r="AR132" s="185">
        <f t="shared" si="56"/>
        <v>0</v>
      </c>
      <c r="AS132" s="185">
        <f t="shared" si="57"/>
        <v>0</v>
      </c>
      <c r="AT132" s="185">
        <f t="shared" si="58"/>
        <v>0</v>
      </c>
      <c r="AU132" s="185">
        <f t="shared" si="59"/>
        <v>0</v>
      </c>
      <c r="AV132" s="185">
        <f t="shared" si="60"/>
        <v>0</v>
      </c>
      <c r="AW132" s="185">
        <f t="shared" si="61"/>
        <v>0</v>
      </c>
      <c r="AX132" s="185">
        <f t="shared" si="62"/>
        <v>0</v>
      </c>
      <c r="AY132" s="185">
        <f t="shared" si="63"/>
        <v>0</v>
      </c>
      <c r="AZ132" s="185">
        <f t="shared" si="64"/>
        <v>0</v>
      </c>
      <c r="BA132" s="185">
        <f t="shared" si="65"/>
        <v>0</v>
      </c>
      <c r="BB132" s="185">
        <f t="shared" si="66"/>
        <v>0</v>
      </c>
      <c r="BC132" s="185">
        <f t="shared" si="67"/>
        <v>0</v>
      </c>
      <c r="BD132" s="185">
        <f t="shared" si="68"/>
        <v>0</v>
      </c>
      <c r="BE132" s="185">
        <f t="shared" si="69"/>
        <v>0</v>
      </c>
    </row>
    <row r="133" spans="1:57" s="90" customFormat="1" ht="15" hidden="1" customHeight="1" x14ac:dyDescent="0.25">
      <c r="A133" s="187" t="b">
        <v>1</v>
      </c>
      <c r="B133" s="188" t="b">
        <v>1</v>
      </c>
      <c r="C133" s="179" t="e">
        <f t="shared" si="47"/>
        <v>#N/A</v>
      </c>
      <c r="E133" s="180">
        <v>2104</v>
      </c>
      <c r="F133" s="100">
        <f t="shared" si="71"/>
        <v>146</v>
      </c>
      <c r="G133" s="181">
        <f t="shared" si="48"/>
        <v>-81</v>
      </c>
      <c r="H133" s="181" t="e">
        <f t="shared" si="70"/>
        <v>#N/A</v>
      </c>
      <c r="J133" s="182">
        <v>0</v>
      </c>
      <c r="K133" s="101"/>
      <c r="L133" s="183" t="e">
        <f t="shared" si="49"/>
        <v>#N/A</v>
      </c>
      <c r="M133" s="184"/>
      <c r="N133" s="91"/>
      <c r="O133" s="91"/>
      <c r="P133" s="90">
        <v>0</v>
      </c>
      <c r="Q133" s="87">
        <v>1</v>
      </c>
      <c r="R133" s="185">
        <v>0</v>
      </c>
      <c r="S133" s="185">
        <v>0</v>
      </c>
      <c r="T133" s="185">
        <v>0</v>
      </c>
      <c r="U133" s="185">
        <v>0</v>
      </c>
      <c r="V133" s="182">
        <v>0</v>
      </c>
      <c r="W133" s="182">
        <v>0</v>
      </c>
      <c r="X133" s="182">
        <v>0</v>
      </c>
      <c r="Y133" s="182">
        <v>0</v>
      </c>
      <c r="Z133" s="182">
        <v>0</v>
      </c>
      <c r="AA133" s="182">
        <v>0</v>
      </c>
      <c r="AB133" s="182">
        <v>0</v>
      </c>
      <c r="AC133" s="182">
        <v>0</v>
      </c>
      <c r="AD133" s="182">
        <v>0</v>
      </c>
      <c r="AE133" s="182">
        <v>0</v>
      </c>
      <c r="AF133" s="182">
        <v>0</v>
      </c>
      <c r="AG133" s="182">
        <v>0</v>
      </c>
      <c r="AH133" s="182">
        <v>0</v>
      </c>
      <c r="AI133" s="182">
        <v>0</v>
      </c>
      <c r="AJ133" s="182">
        <v>0</v>
      </c>
      <c r="AL133" s="185">
        <f t="shared" si="50"/>
        <v>1</v>
      </c>
      <c r="AM133" s="185">
        <f t="shared" si="51"/>
        <v>0</v>
      </c>
      <c r="AN133" s="185">
        <f t="shared" si="52"/>
        <v>0</v>
      </c>
      <c r="AO133" s="185">
        <f t="shared" si="53"/>
        <v>0</v>
      </c>
      <c r="AP133" s="185">
        <f t="shared" si="54"/>
        <v>0</v>
      </c>
      <c r="AQ133" s="185">
        <f t="shared" si="55"/>
        <v>0</v>
      </c>
      <c r="AR133" s="185">
        <f t="shared" si="56"/>
        <v>0</v>
      </c>
      <c r="AS133" s="185">
        <f t="shared" si="57"/>
        <v>0</v>
      </c>
      <c r="AT133" s="185">
        <f t="shared" si="58"/>
        <v>0</v>
      </c>
      <c r="AU133" s="185">
        <f t="shared" si="59"/>
        <v>0</v>
      </c>
      <c r="AV133" s="185">
        <f t="shared" si="60"/>
        <v>0</v>
      </c>
      <c r="AW133" s="185">
        <f t="shared" si="61"/>
        <v>0</v>
      </c>
      <c r="AX133" s="185">
        <f t="shared" si="62"/>
        <v>0</v>
      </c>
      <c r="AY133" s="185">
        <f t="shared" si="63"/>
        <v>0</v>
      </c>
      <c r="AZ133" s="185">
        <f t="shared" si="64"/>
        <v>0</v>
      </c>
      <c r="BA133" s="185">
        <f t="shared" si="65"/>
        <v>0</v>
      </c>
      <c r="BB133" s="185">
        <f t="shared" si="66"/>
        <v>0</v>
      </c>
      <c r="BC133" s="185">
        <f t="shared" si="67"/>
        <v>0</v>
      </c>
      <c r="BD133" s="185">
        <f t="shared" si="68"/>
        <v>0</v>
      </c>
      <c r="BE133" s="185">
        <f t="shared" si="69"/>
        <v>0</v>
      </c>
    </row>
    <row r="134" spans="1:57" s="90" customFormat="1" ht="15" hidden="1" customHeight="1" x14ac:dyDescent="0.25">
      <c r="A134" s="187" t="b">
        <v>1</v>
      </c>
      <c r="B134" s="188" t="b">
        <v>1</v>
      </c>
      <c r="C134" s="179" t="e">
        <f t="shared" si="47"/>
        <v>#N/A</v>
      </c>
      <c r="E134" s="180">
        <v>2105</v>
      </c>
      <c r="F134" s="100">
        <f t="shared" si="71"/>
        <v>147</v>
      </c>
      <c r="G134" s="181">
        <f t="shared" si="48"/>
        <v>-82</v>
      </c>
      <c r="H134" s="181" t="e">
        <f t="shared" si="70"/>
        <v>#N/A</v>
      </c>
      <c r="J134" s="182">
        <v>0</v>
      </c>
      <c r="K134" s="101"/>
      <c r="L134" s="183" t="e">
        <f t="shared" si="49"/>
        <v>#N/A</v>
      </c>
      <c r="M134" s="184"/>
      <c r="N134" s="91"/>
      <c r="O134" s="91"/>
      <c r="P134" s="90">
        <v>0</v>
      </c>
      <c r="Q134" s="87">
        <v>1</v>
      </c>
      <c r="R134" s="185">
        <v>0</v>
      </c>
      <c r="S134" s="185">
        <v>0</v>
      </c>
      <c r="T134" s="185">
        <v>0</v>
      </c>
      <c r="U134" s="185">
        <v>0</v>
      </c>
      <c r="V134" s="182">
        <v>0</v>
      </c>
      <c r="W134" s="182">
        <v>0</v>
      </c>
      <c r="X134" s="182">
        <v>0</v>
      </c>
      <c r="Y134" s="182">
        <v>0</v>
      </c>
      <c r="Z134" s="182">
        <v>0</v>
      </c>
      <c r="AA134" s="182">
        <v>0</v>
      </c>
      <c r="AB134" s="182">
        <v>0</v>
      </c>
      <c r="AC134" s="182">
        <v>0</v>
      </c>
      <c r="AD134" s="182">
        <v>0</v>
      </c>
      <c r="AE134" s="182">
        <v>0</v>
      </c>
      <c r="AF134" s="182">
        <v>0</v>
      </c>
      <c r="AG134" s="182">
        <v>0</v>
      </c>
      <c r="AH134" s="182">
        <v>0</v>
      </c>
      <c r="AI134" s="182">
        <v>0</v>
      </c>
      <c r="AJ134" s="182">
        <v>0</v>
      </c>
      <c r="AL134" s="185">
        <f t="shared" si="50"/>
        <v>1</v>
      </c>
      <c r="AM134" s="185">
        <f t="shared" si="51"/>
        <v>0</v>
      </c>
      <c r="AN134" s="185">
        <f t="shared" si="52"/>
        <v>0</v>
      </c>
      <c r="AO134" s="185">
        <f t="shared" si="53"/>
        <v>0</v>
      </c>
      <c r="AP134" s="185">
        <f t="shared" si="54"/>
        <v>0</v>
      </c>
      <c r="AQ134" s="185">
        <f t="shared" si="55"/>
        <v>0</v>
      </c>
      <c r="AR134" s="185">
        <f t="shared" si="56"/>
        <v>0</v>
      </c>
      <c r="AS134" s="185">
        <f t="shared" si="57"/>
        <v>0</v>
      </c>
      <c r="AT134" s="185">
        <f t="shared" si="58"/>
        <v>0</v>
      </c>
      <c r="AU134" s="185">
        <f t="shared" si="59"/>
        <v>0</v>
      </c>
      <c r="AV134" s="185">
        <f t="shared" si="60"/>
        <v>0</v>
      </c>
      <c r="AW134" s="185">
        <f t="shared" si="61"/>
        <v>0</v>
      </c>
      <c r="AX134" s="185">
        <f t="shared" si="62"/>
        <v>0</v>
      </c>
      <c r="AY134" s="185">
        <f t="shared" si="63"/>
        <v>0</v>
      </c>
      <c r="AZ134" s="185">
        <f t="shared" si="64"/>
        <v>0</v>
      </c>
      <c r="BA134" s="185">
        <f t="shared" si="65"/>
        <v>0</v>
      </c>
      <c r="BB134" s="185">
        <f t="shared" si="66"/>
        <v>0</v>
      </c>
      <c r="BC134" s="185">
        <f t="shared" si="67"/>
        <v>0</v>
      </c>
      <c r="BD134" s="185">
        <f t="shared" si="68"/>
        <v>0</v>
      </c>
      <c r="BE134" s="185">
        <f t="shared" si="69"/>
        <v>0</v>
      </c>
    </row>
    <row r="135" spans="1:57" s="90" customFormat="1" ht="15" hidden="1" customHeight="1" x14ac:dyDescent="0.25">
      <c r="A135" s="187" t="b">
        <v>1</v>
      </c>
      <c r="B135" s="188" t="b">
        <v>1</v>
      </c>
      <c r="C135" s="179" t="e">
        <f t="shared" si="47"/>
        <v>#N/A</v>
      </c>
      <c r="E135" s="180">
        <v>2106</v>
      </c>
      <c r="F135" s="100">
        <f t="shared" si="71"/>
        <v>148</v>
      </c>
      <c r="G135" s="181">
        <f t="shared" si="48"/>
        <v>-83</v>
      </c>
      <c r="H135" s="181" t="e">
        <f t="shared" si="70"/>
        <v>#N/A</v>
      </c>
      <c r="J135" s="182">
        <v>0</v>
      </c>
      <c r="K135" s="101"/>
      <c r="L135" s="183" t="e">
        <f t="shared" si="49"/>
        <v>#N/A</v>
      </c>
      <c r="M135" s="184"/>
      <c r="N135" s="91"/>
      <c r="O135" s="91"/>
      <c r="P135" s="90">
        <v>0</v>
      </c>
      <c r="Q135" s="87">
        <v>1</v>
      </c>
      <c r="R135" s="185">
        <v>0</v>
      </c>
      <c r="S135" s="185">
        <v>0</v>
      </c>
      <c r="T135" s="185">
        <v>0</v>
      </c>
      <c r="U135" s="185">
        <v>0</v>
      </c>
      <c r="V135" s="182">
        <v>0</v>
      </c>
      <c r="W135" s="182">
        <v>0</v>
      </c>
      <c r="X135" s="182">
        <v>0</v>
      </c>
      <c r="Y135" s="182">
        <v>0</v>
      </c>
      <c r="Z135" s="182">
        <v>0</v>
      </c>
      <c r="AA135" s="182">
        <v>0</v>
      </c>
      <c r="AB135" s="182">
        <v>0</v>
      </c>
      <c r="AC135" s="182">
        <v>0</v>
      </c>
      <c r="AD135" s="182">
        <v>0</v>
      </c>
      <c r="AE135" s="182">
        <v>0</v>
      </c>
      <c r="AF135" s="182">
        <v>0</v>
      </c>
      <c r="AG135" s="182">
        <v>0</v>
      </c>
      <c r="AH135" s="182">
        <v>0</v>
      </c>
      <c r="AI135" s="182">
        <v>0</v>
      </c>
      <c r="AJ135" s="182">
        <v>0</v>
      </c>
      <c r="AL135" s="185">
        <f t="shared" si="50"/>
        <v>1</v>
      </c>
      <c r="AM135" s="185">
        <f t="shared" si="51"/>
        <v>0</v>
      </c>
      <c r="AN135" s="185">
        <f t="shared" si="52"/>
        <v>0</v>
      </c>
      <c r="AO135" s="185">
        <f t="shared" si="53"/>
        <v>0</v>
      </c>
      <c r="AP135" s="185">
        <f t="shared" si="54"/>
        <v>0</v>
      </c>
      <c r="AQ135" s="185">
        <f t="shared" si="55"/>
        <v>0</v>
      </c>
      <c r="AR135" s="185">
        <f t="shared" si="56"/>
        <v>0</v>
      </c>
      <c r="AS135" s="185">
        <f t="shared" si="57"/>
        <v>0</v>
      </c>
      <c r="AT135" s="185">
        <f t="shared" si="58"/>
        <v>0</v>
      </c>
      <c r="AU135" s="185">
        <f t="shared" si="59"/>
        <v>0</v>
      </c>
      <c r="AV135" s="185">
        <f t="shared" si="60"/>
        <v>0</v>
      </c>
      <c r="AW135" s="185">
        <f t="shared" si="61"/>
        <v>0</v>
      </c>
      <c r="AX135" s="185">
        <f t="shared" si="62"/>
        <v>0</v>
      </c>
      <c r="AY135" s="185">
        <f t="shared" si="63"/>
        <v>0</v>
      </c>
      <c r="AZ135" s="185">
        <f t="shared" si="64"/>
        <v>0</v>
      </c>
      <c r="BA135" s="185">
        <f t="shared" si="65"/>
        <v>0</v>
      </c>
      <c r="BB135" s="185">
        <f t="shared" si="66"/>
        <v>0</v>
      </c>
      <c r="BC135" s="185">
        <f t="shared" si="67"/>
        <v>0</v>
      </c>
      <c r="BD135" s="185">
        <f t="shared" si="68"/>
        <v>0</v>
      </c>
      <c r="BE135" s="185">
        <f t="shared" si="69"/>
        <v>0</v>
      </c>
    </row>
    <row r="136" spans="1:57" s="90" customFormat="1" ht="15" hidden="1" customHeight="1" x14ac:dyDescent="0.25">
      <c r="A136" s="187" t="b">
        <v>1</v>
      </c>
      <c r="B136" s="188" t="b">
        <v>1</v>
      </c>
      <c r="C136" s="179" t="e">
        <f t="shared" si="47"/>
        <v>#N/A</v>
      </c>
      <c r="E136" s="180">
        <v>2107</v>
      </c>
      <c r="F136" s="100">
        <f t="shared" si="71"/>
        <v>149</v>
      </c>
      <c r="G136" s="181">
        <f t="shared" si="48"/>
        <v>-84</v>
      </c>
      <c r="H136" s="181" t="e">
        <f t="shared" si="70"/>
        <v>#N/A</v>
      </c>
      <c r="J136" s="182">
        <v>0</v>
      </c>
      <c r="K136" s="101"/>
      <c r="L136" s="183" t="e">
        <f t="shared" si="49"/>
        <v>#N/A</v>
      </c>
      <c r="M136" s="184"/>
      <c r="N136" s="91"/>
      <c r="O136" s="91"/>
      <c r="P136" s="90">
        <v>0</v>
      </c>
      <c r="Q136" s="87">
        <v>1</v>
      </c>
      <c r="R136" s="185">
        <v>0</v>
      </c>
      <c r="S136" s="185">
        <v>0</v>
      </c>
      <c r="T136" s="185">
        <v>0</v>
      </c>
      <c r="U136" s="185">
        <v>0</v>
      </c>
      <c r="V136" s="182">
        <v>0</v>
      </c>
      <c r="W136" s="182">
        <v>0</v>
      </c>
      <c r="X136" s="182">
        <v>0</v>
      </c>
      <c r="Y136" s="182">
        <v>0</v>
      </c>
      <c r="Z136" s="182">
        <v>0</v>
      </c>
      <c r="AA136" s="182">
        <v>0</v>
      </c>
      <c r="AB136" s="182">
        <v>0</v>
      </c>
      <c r="AC136" s="182">
        <v>0</v>
      </c>
      <c r="AD136" s="182">
        <v>0</v>
      </c>
      <c r="AE136" s="182">
        <v>0</v>
      </c>
      <c r="AF136" s="182">
        <v>0</v>
      </c>
      <c r="AG136" s="182">
        <v>0</v>
      </c>
      <c r="AH136" s="182">
        <v>0</v>
      </c>
      <c r="AI136" s="182">
        <v>0</v>
      </c>
      <c r="AJ136" s="182">
        <v>0</v>
      </c>
      <c r="AL136" s="185">
        <f t="shared" si="50"/>
        <v>1</v>
      </c>
      <c r="AM136" s="185">
        <f t="shared" si="51"/>
        <v>0</v>
      </c>
      <c r="AN136" s="185">
        <f t="shared" si="52"/>
        <v>0</v>
      </c>
      <c r="AO136" s="185">
        <f t="shared" si="53"/>
        <v>0</v>
      </c>
      <c r="AP136" s="185">
        <f t="shared" si="54"/>
        <v>0</v>
      </c>
      <c r="AQ136" s="185">
        <f t="shared" si="55"/>
        <v>0</v>
      </c>
      <c r="AR136" s="185">
        <f t="shared" si="56"/>
        <v>0</v>
      </c>
      <c r="AS136" s="185">
        <f t="shared" si="57"/>
        <v>0</v>
      </c>
      <c r="AT136" s="185">
        <f t="shared" si="58"/>
        <v>0</v>
      </c>
      <c r="AU136" s="185">
        <f t="shared" si="59"/>
        <v>0</v>
      </c>
      <c r="AV136" s="185">
        <f t="shared" si="60"/>
        <v>0</v>
      </c>
      <c r="AW136" s="185">
        <f t="shared" si="61"/>
        <v>0</v>
      </c>
      <c r="AX136" s="185">
        <f t="shared" si="62"/>
        <v>0</v>
      </c>
      <c r="AY136" s="185">
        <f t="shared" si="63"/>
        <v>0</v>
      </c>
      <c r="AZ136" s="185">
        <f t="shared" si="64"/>
        <v>0</v>
      </c>
      <c r="BA136" s="185">
        <f t="shared" si="65"/>
        <v>0</v>
      </c>
      <c r="BB136" s="185">
        <f t="shared" si="66"/>
        <v>0</v>
      </c>
      <c r="BC136" s="185">
        <f t="shared" si="67"/>
        <v>0</v>
      </c>
      <c r="BD136" s="185">
        <f t="shared" si="68"/>
        <v>0</v>
      </c>
      <c r="BE136" s="185">
        <f t="shared" si="69"/>
        <v>0</v>
      </c>
    </row>
    <row r="137" spans="1:57" s="90" customFormat="1" ht="15" hidden="1" customHeight="1" x14ac:dyDescent="0.25">
      <c r="A137" s="187" t="b">
        <v>1</v>
      </c>
      <c r="B137" s="188" t="b">
        <v>1</v>
      </c>
      <c r="C137" s="179" t="e">
        <f t="shared" si="47"/>
        <v>#N/A</v>
      </c>
      <c r="E137" s="180">
        <v>2108</v>
      </c>
      <c r="F137" s="100">
        <f t="shared" si="71"/>
        <v>150</v>
      </c>
      <c r="G137" s="181">
        <f t="shared" si="48"/>
        <v>-85</v>
      </c>
      <c r="H137" s="181" t="e">
        <f t="shared" si="70"/>
        <v>#N/A</v>
      </c>
      <c r="J137" s="182">
        <v>0</v>
      </c>
      <c r="K137" s="101"/>
      <c r="L137" s="183" t="e">
        <f t="shared" si="49"/>
        <v>#N/A</v>
      </c>
      <c r="M137" s="184"/>
      <c r="N137" s="91"/>
      <c r="O137" s="91"/>
      <c r="P137" s="90">
        <v>0</v>
      </c>
      <c r="Q137" s="87">
        <v>1</v>
      </c>
      <c r="R137" s="185">
        <v>0</v>
      </c>
      <c r="S137" s="185">
        <v>0</v>
      </c>
      <c r="T137" s="185">
        <v>0</v>
      </c>
      <c r="U137" s="185">
        <v>0</v>
      </c>
      <c r="V137" s="182">
        <v>0</v>
      </c>
      <c r="W137" s="182">
        <v>0</v>
      </c>
      <c r="X137" s="182">
        <v>0</v>
      </c>
      <c r="Y137" s="182">
        <v>0</v>
      </c>
      <c r="Z137" s="182">
        <v>0</v>
      </c>
      <c r="AA137" s="182">
        <v>0</v>
      </c>
      <c r="AB137" s="182">
        <v>0</v>
      </c>
      <c r="AC137" s="182">
        <v>0</v>
      </c>
      <c r="AD137" s="182">
        <v>0</v>
      </c>
      <c r="AE137" s="182">
        <v>0</v>
      </c>
      <c r="AF137" s="182">
        <v>0</v>
      </c>
      <c r="AG137" s="182">
        <v>0</v>
      </c>
      <c r="AH137" s="182">
        <v>0</v>
      </c>
      <c r="AI137" s="182">
        <v>0</v>
      </c>
      <c r="AJ137" s="182">
        <v>0</v>
      </c>
      <c r="AL137" s="185">
        <f t="shared" si="50"/>
        <v>1</v>
      </c>
      <c r="AM137" s="185">
        <f t="shared" si="51"/>
        <v>0</v>
      </c>
      <c r="AN137" s="185">
        <f t="shared" si="52"/>
        <v>0</v>
      </c>
      <c r="AO137" s="185">
        <f t="shared" si="53"/>
        <v>0</v>
      </c>
      <c r="AP137" s="185">
        <f t="shared" si="54"/>
        <v>0</v>
      </c>
      <c r="AQ137" s="185">
        <f t="shared" si="55"/>
        <v>0</v>
      </c>
      <c r="AR137" s="185">
        <f t="shared" si="56"/>
        <v>0</v>
      </c>
      <c r="AS137" s="185">
        <f t="shared" si="57"/>
        <v>0</v>
      </c>
      <c r="AT137" s="185">
        <f t="shared" si="58"/>
        <v>0</v>
      </c>
      <c r="AU137" s="185">
        <f t="shared" si="59"/>
        <v>0</v>
      </c>
      <c r="AV137" s="185">
        <f t="shared" si="60"/>
        <v>0</v>
      </c>
      <c r="AW137" s="185">
        <f t="shared" si="61"/>
        <v>0</v>
      </c>
      <c r="AX137" s="185">
        <f t="shared" si="62"/>
        <v>0</v>
      </c>
      <c r="AY137" s="185">
        <f t="shared" si="63"/>
        <v>0</v>
      </c>
      <c r="AZ137" s="185">
        <f t="shared" si="64"/>
        <v>0</v>
      </c>
      <c r="BA137" s="185">
        <f t="shared" si="65"/>
        <v>0</v>
      </c>
      <c r="BB137" s="185">
        <f t="shared" si="66"/>
        <v>0</v>
      </c>
      <c r="BC137" s="185">
        <f t="shared" si="67"/>
        <v>0</v>
      </c>
      <c r="BD137" s="185">
        <f t="shared" si="68"/>
        <v>0</v>
      </c>
      <c r="BE137" s="185">
        <f t="shared" si="69"/>
        <v>0</v>
      </c>
    </row>
    <row r="138" spans="1:57" s="90" customFormat="1" ht="15" hidden="1" customHeight="1" x14ac:dyDescent="0.25">
      <c r="A138" s="187" t="b">
        <v>1</v>
      </c>
      <c r="B138" s="188" t="b">
        <v>1</v>
      </c>
      <c r="C138" s="179" t="e">
        <f t="shared" si="47"/>
        <v>#N/A</v>
      </c>
      <c r="E138" s="180">
        <v>2109</v>
      </c>
      <c r="F138" s="100">
        <f t="shared" si="71"/>
        <v>151</v>
      </c>
      <c r="G138" s="181">
        <f t="shared" si="48"/>
        <v>-86</v>
      </c>
      <c r="H138" s="181" t="e">
        <f t="shared" si="70"/>
        <v>#N/A</v>
      </c>
      <c r="J138" s="182">
        <v>0</v>
      </c>
      <c r="K138" s="101"/>
      <c r="L138" s="183" t="e">
        <f t="shared" si="49"/>
        <v>#N/A</v>
      </c>
      <c r="M138" s="184"/>
      <c r="N138" s="91"/>
      <c r="O138" s="91"/>
      <c r="P138" s="90">
        <v>0</v>
      </c>
      <c r="Q138" s="87">
        <v>1</v>
      </c>
      <c r="R138" s="185">
        <v>0</v>
      </c>
      <c r="S138" s="185">
        <v>0</v>
      </c>
      <c r="T138" s="185">
        <v>0</v>
      </c>
      <c r="U138" s="185">
        <v>0</v>
      </c>
      <c r="V138" s="182">
        <v>0</v>
      </c>
      <c r="W138" s="182">
        <v>0</v>
      </c>
      <c r="X138" s="182">
        <v>0</v>
      </c>
      <c r="Y138" s="182">
        <v>0</v>
      </c>
      <c r="Z138" s="182">
        <v>0</v>
      </c>
      <c r="AA138" s="182">
        <v>0</v>
      </c>
      <c r="AB138" s="182">
        <v>0</v>
      </c>
      <c r="AC138" s="182">
        <v>0</v>
      </c>
      <c r="AD138" s="182">
        <v>0</v>
      </c>
      <c r="AE138" s="182">
        <v>0</v>
      </c>
      <c r="AF138" s="182">
        <v>0</v>
      </c>
      <c r="AG138" s="182">
        <v>0</v>
      </c>
      <c r="AH138" s="182">
        <v>0</v>
      </c>
      <c r="AI138" s="182">
        <v>0</v>
      </c>
      <c r="AJ138" s="182">
        <v>0</v>
      </c>
      <c r="AL138" s="185">
        <f t="shared" si="50"/>
        <v>1</v>
      </c>
      <c r="AM138" s="185">
        <f t="shared" si="51"/>
        <v>0</v>
      </c>
      <c r="AN138" s="185">
        <f t="shared" si="52"/>
        <v>0</v>
      </c>
      <c r="AO138" s="185">
        <f t="shared" si="53"/>
        <v>0</v>
      </c>
      <c r="AP138" s="185">
        <f t="shared" si="54"/>
        <v>0</v>
      </c>
      <c r="AQ138" s="185">
        <f t="shared" si="55"/>
        <v>0</v>
      </c>
      <c r="AR138" s="185">
        <f t="shared" si="56"/>
        <v>0</v>
      </c>
      <c r="AS138" s="185">
        <f t="shared" si="57"/>
        <v>0</v>
      </c>
      <c r="AT138" s="185">
        <f t="shared" si="58"/>
        <v>0</v>
      </c>
      <c r="AU138" s="185">
        <f t="shared" si="59"/>
        <v>0</v>
      </c>
      <c r="AV138" s="185">
        <f t="shared" si="60"/>
        <v>0</v>
      </c>
      <c r="AW138" s="185">
        <f t="shared" si="61"/>
        <v>0</v>
      </c>
      <c r="AX138" s="185">
        <f t="shared" si="62"/>
        <v>0</v>
      </c>
      <c r="AY138" s="185">
        <f t="shared" si="63"/>
        <v>0</v>
      </c>
      <c r="AZ138" s="185">
        <f t="shared" si="64"/>
        <v>0</v>
      </c>
      <c r="BA138" s="185">
        <f t="shared" si="65"/>
        <v>0</v>
      </c>
      <c r="BB138" s="185">
        <f t="shared" si="66"/>
        <v>0</v>
      </c>
      <c r="BC138" s="185">
        <f t="shared" si="67"/>
        <v>0</v>
      </c>
      <c r="BD138" s="185">
        <f t="shared" si="68"/>
        <v>0</v>
      </c>
      <c r="BE138" s="185">
        <f t="shared" si="69"/>
        <v>0</v>
      </c>
    </row>
    <row r="139" spans="1:57" s="90" customFormat="1" ht="15" hidden="1" customHeight="1" x14ac:dyDescent="0.25">
      <c r="A139" s="187" t="b">
        <v>1</v>
      </c>
      <c r="B139" s="188" t="b">
        <v>1</v>
      </c>
      <c r="C139" s="179" t="e">
        <f t="shared" si="47"/>
        <v>#N/A</v>
      </c>
      <c r="E139" s="180">
        <v>2110</v>
      </c>
      <c r="F139" s="100">
        <f t="shared" si="71"/>
        <v>152</v>
      </c>
      <c r="G139" s="181">
        <f t="shared" si="48"/>
        <v>-87</v>
      </c>
      <c r="H139" s="181" t="e">
        <f t="shared" si="70"/>
        <v>#N/A</v>
      </c>
      <c r="J139" s="182">
        <v>0</v>
      </c>
      <c r="K139" s="101"/>
      <c r="L139" s="183" t="e">
        <f t="shared" si="49"/>
        <v>#N/A</v>
      </c>
      <c r="M139" s="184"/>
      <c r="N139" s="91"/>
      <c r="O139" s="91"/>
      <c r="P139" s="90">
        <v>0</v>
      </c>
      <c r="Q139" s="87">
        <v>1</v>
      </c>
      <c r="R139" s="185">
        <v>0</v>
      </c>
      <c r="S139" s="185">
        <v>0</v>
      </c>
      <c r="T139" s="185">
        <v>0</v>
      </c>
      <c r="U139" s="185">
        <v>0</v>
      </c>
      <c r="V139" s="182">
        <v>0</v>
      </c>
      <c r="W139" s="182">
        <v>0</v>
      </c>
      <c r="X139" s="182">
        <v>0</v>
      </c>
      <c r="Y139" s="182">
        <v>0</v>
      </c>
      <c r="Z139" s="182">
        <v>0</v>
      </c>
      <c r="AA139" s="182">
        <v>0</v>
      </c>
      <c r="AB139" s="182">
        <v>0</v>
      </c>
      <c r="AC139" s="182">
        <v>0</v>
      </c>
      <c r="AD139" s="182">
        <v>0</v>
      </c>
      <c r="AE139" s="182">
        <v>0</v>
      </c>
      <c r="AF139" s="182">
        <v>0</v>
      </c>
      <c r="AG139" s="182">
        <v>0</v>
      </c>
      <c r="AH139" s="182">
        <v>0</v>
      </c>
      <c r="AI139" s="182">
        <v>0</v>
      </c>
      <c r="AJ139" s="182">
        <v>0</v>
      </c>
      <c r="AL139" s="185">
        <f t="shared" si="50"/>
        <v>1</v>
      </c>
      <c r="AM139" s="185">
        <f t="shared" si="51"/>
        <v>0</v>
      </c>
      <c r="AN139" s="185">
        <f t="shared" si="52"/>
        <v>0</v>
      </c>
      <c r="AO139" s="185">
        <f t="shared" si="53"/>
        <v>0</v>
      </c>
      <c r="AP139" s="185">
        <f t="shared" si="54"/>
        <v>0</v>
      </c>
      <c r="AQ139" s="185">
        <f t="shared" si="55"/>
        <v>0</v>
      </c>
      <c r="AR139" s="185">
        <f t="shared" si="56"/>
        <v>0</v>
      </c>
      <c r="AS139" s="185">
        <f t="shared" si="57"/>
        <v>0</v>
      </c>
      <c r="AT139" s="185">
        <f t="shared" si="58"/>
        <v>0</v>
      </c>
      <c r="AU139" s="185">
        <f t="shared" si="59"/>
        <v>0</v>
      </c>
      <c r="AV139" s="185">
        <f t="shared" si="60"/>
        <v>0</v>
      </c>
      <c r="AW139" s="185">
        <f t="shared" si="61"/>
        <v>0</v>
      </c>
      <c r="AX139" s="185">
        <f t="shared" si="62"/>
        <v>0</v>
      </c>
      <c r="AY139" s="185">
        <f t="shared" si="63"/>
        <v>0</v>
      </c>
      <c r="AZ139" s="185">
        <f t="shared" si="64"/>
        <v>0</v>
      </c>
      <c r="BA139" s="185">
        <f t="shared" si="65"/>
        <v>0</v>
      </c>
      <c r="BB139" s="185">
        <f t="shared" si="66"/>
        <v>0</v>
      </c>
      <c r="BC139" s="185">
        <f t="shared" si="67"/>
        <v>0</v>
      </c>
      <c r="BD139" s="185">
        <f t="shared" si="68"/>
        <v>0</v>
      </c>
      <c r="BE139" s="185">
        <f t="shared" si="69"/>
        <v>0</v>
      </c>
    </row>
    <row r="140" spans="1:57" s="90" customFormat="1" ht="15" hidden="1" customHeight="1" x14ac:dyDescent="0.25">
      <c r="A140" s="187" t="b">
        <v>1</v>
      </c>
      <c r="B140" s="188" t="b">
        <v>1</v>
      </c>
      <c r="C140" s="179" t="e">
        <f t="shared" si="47"/>
        <v>#N/A</v>
      </c>
      <c r="E140" s="180">
        <v>2111</v>
      </c>
      <c r="F140" s="100">
        <f t="shared" si="71"/>
        <v>153</v>
      </c>
      <c r="G140" s="181">
        <f t="shared" si="48"/>
        <v>-88</v>
      </c>
      <c r="H140" s="181" t="e">
        <f t="shared" si="70"/>
        <v>#N/A</v>
      </c>
      <c r="J140" s="182">
        <v>0</v>
      </c>
      <c r="K140" s="101"/>
      <c r="L140" s="183" t="e">
        <f t="shared" si="49"/>
        <v>#N/A</v>
      </c>
      <c r="M140" s="184"/>
      <c r="N140" s="91"/>
      <c r="O140" s="91"/>
      <c r="P140" s="90">
        <v>0</v>
      </c>
      <c r="Q140" s="87">
        <v>1</v>
      </c>
      <c r="R140" s="185">
        <v>0</v>
      </c>
      <c r="S140" s="185">
        <v>0</v>
      </c>
      <c r="T140" s="185">
        <v>0</v>
      </c>
      <c r="U140" s="185">
        <v>0</v>
      </c>
      <c r="V140" s="182">
        <v>0</v>
      </c>
      <c r="W140" s="182">
        <v>0</v>
      </c>
      <c r="X140" s="182">
        <v>0</v>
      </c>
      <c r="Y140" s="182">
        <v>0</v>
      </c>
      <c r="Z140" s="182">
        <v>0</v>
      </c>
      <c r="AA140" s="182">
        <v>0</v>
      </c>
      <c r="AB140" s="182">
        <v>0</v>
      </c>
      <c r="AC140" s="182">
        <v>0</v>
      </c>
      <c r="AD140" s="182">
        <v>0</v>
      </c>
      <c r="AE140" s="182">
        <v>0</v>
      </c>
      <c r="AF140" s="182">
        <v>0</v>
      </c>
      <c r="AG140" s="182">
        <v>0</v>
      </c>
      <c r="AH140" s="182">
        <v>0</v>
      </c>
      <c r="AI140" s="182">
        <v>0</v>
      </c>
      <c r="AJ140" s="182">
        <v>0</v>
      </c>
      <c r="AL140" s="185">
        <f t="shared" si="50"/>
        <v>1</v>
      </c>
      <c r="AM140" s="185">
        <f t="shared" si="51"/>
        <v>0</v>
      </c>
      <c r="AN140" s="185">
        <f t="shared" si="52"/>
        <v>0</v>
      </c>
      <c r="AO140" s="185">
        <f t="shared" si="53"/>
        <v>0</v>
      </c>
      <c r="AP140" s="185">
        <f t="shared" si="54"/>
        <v>0</v>
      </c>
      <c r="AQ140" s="185">
        <f t="shared" si="55"/>
        <v>0</v>
      </c>
      <c r="AR140" s="185">
        <f t="shared" si="56"/>
        <v>0</v>
      </c>
      <c r="AS140" s="185">
        <f t="shared" si="57"/>
        <v>0</v>
      </c>
      <c r="AT140" s="185">
        <f t="shared" si="58"/>
        <v>0</v>
      </c>
      <c r="AU140" s="185">
        <f t="shared" si="59"/>
        <v>0</v>
      </c>
      <c r="AV140" s="185">
        <f t="shared" si="60"/>
        <v>0</v>
      </c>
      <c r="AW140" s="185">
        <f t="shared" si="61"/>
        <v>0</v>
      </c>
      <c r="AX140" s="185">
        <f t="shared" si="62"/>
        <v>0</v>
      </c>
      <c r="AY140" s="185">
        <f t="shared" si="63"/>
        <v>0</v>
      </c>
      <c r="AZ140" s="185">
        <f t="shared" si="64"/>
        <v>0</v>
      </c>
      <c r="BA140" s="185">
        <f t="shared" si="65"/>
        <v>0</v>
      </c>
      <c r="BB140" s="185">
        <f t="shared" si="66"/>
        <v>0</v>
      </c>
      <c r="BC140" s="185">
        <f t="shared" si="67"/>
        <v>0</v>
      </c>
      <c r="BD140" s="185">
        <f t="shared" si="68"/>
        <v>0</v>
      </c>
      <c r="BE140" s="185">
        <f t="shared" si="69"/>
        <v>0</v>
      </c>
    </row>
    <row r="141" spans="1:57" s="90" customFormat="1" ht="15" hidden="1" customHeight="1" x14ac:dyDescent="0.25">
      <c r="A141" s="187" t="b">
        <v>1</v>
      </c>
      <c r="B141" s="188" t="b">
        <v>1</v>
      </c>
      <c r="C141" s="179" t="e">
        <f t="shared" si="47"/>
        <v>#N/A</v>
      </c>
      <c r="E141" s="180">
        <v>2112</v>
      </c>
      <c r="F141" s="100">
        <f t="shared" si="71"/>
        <v>154</v>
      </c>
      <c r="G141" s="181">
        <f t="shared" si="48"/>
        <v>-89</v>
      </c>
      <c r="H141" s="181" t="e">
        <f t="shared" si="70"/>
        <v>#N/A</v>
      </c>
      <c r="J141" s="182">
        <v>0</v>
      </c>
      <c r="K141" s="101"/>
      <c r="L141" s="183" t="e">
        <f t="shared" si="49"/>
        <v>#N/A</v>
      </c>
      <c r="M141" s="184"/>
      <c r="N141" s="91"/>
      <c r="O141" s="91"/>
      <c r="P141" s="90">
        <v>0</v>
      </c>
      <c r="Q141" s="87">
        <v>1</v>
      </c>
      <c r="R141" s="185">
        <v>0</v>
      </c>
      <c r="S141" s="185">
        <v>0</v>
      </c>
      <c r="T141" s="185">
        <v>0</v>
      </c>
      <c r="U141" s="185">
        <v>0</v>
      </c>
      <c r="V141" s="182">
        <v>0</v>
      </c>
      <c r="W141" s="182">
        <v>0</v>
      </c>
      <c r="X141" s="182">
        <v>0</v>
      </c>
      <c r="Y141" s="182">
        <v>0</v>
      </c>
      <c r="Z141" s="182">
        <v>0</v>
      </c>
      <c r="AA141" s="182">
        <v>0</v>
      </c>
      <c r="AB141" s="182">
        <v>0</v>
      </c>
      <c r="AC141" s="182">
        <v>0</v>
      </c>
      <c r="AD141" s="182">
        <v>0</v>
      </c>
      <c r="AE141" s="182">
        <v>0</v>
      </c>
      <c r="AF141" s="182">
        <v>0</v>
      </c>
      <c r="AG141" s="182">
        <v>0</v>
      </c>
      <c r="AH141" s="182">
        <v>0</v>
      </c>
      <c r="AI141" s="182">
        <v>0</v>
      </c>
      <c r="AJ141" s="182">
        <v>0</v>
      </c>
      <c r="AL141" s="185">
        <f t="shared" si="50"/>
        <v>1</v>
      </c>
      <c r="AM141" s="185">
        <f t="shared" si="51"/>
        <v>0</v>
      </c>
      <c r="AN141" s="185">
        <f t="shared" si="52"/>
        <v>0</v>
      </c>
      <c r="AO141" s="185">
        <f t="shared" si="53"/>
        <v>0</v>
      </c>
      <c r="AP141" s="185">
        <f t="shared" si="54"/>
        <v>0</v>
      </c>
      <c r="AQ141" s="185">
        <f t="shared" si="55"/>
        <v>0</v>
      </c>
      <c r="AR141" s="185">
        <f t="shared" si="56"/>
        <v>0</v>
      </c>
      <c r="AS141" s="185">
        <f t="shared" si="57"/>
        <v>0</v>
      </c>
      <c r="AT141" s="185">
        <f t="shared" si="58"/>
        <v>0</v>
      </c>
      <c r="AU141" s="185">
        <f t="shared" si="59"/>
        <v>0</v>
      </c>
      <c r="AV141" s="185">
        <f t="shared" si="60"/>
        <v>0</v>
      </c>
      <c r="AW141" s="185">
        <f t="shared" si="61"/>
        <v>0</v>
      </c>
      <c r="AX141" s="185">
        <f t="shared" si="62"/>
        <v>0</v>
      </c>
      <c r="AY141" s="185">
        <f t="shared" si="63"/>
        <v>0</v>
      </c>
      <c r="AZ141" s="185">
        <f t="shared" si="64"/>
        <v>0</v>
      </c>
      <c r="BA141" s="185">
        <f t="shared" si="65"/>
        <v>0</v>
      </c>
      <c r="BB141" s="185">
        <f t="shared" si="66"/>
        <v>0</v>
      </c>
      <c r="BC141" s="185">
        <f t="shared" si="67"/>
        <v>0</v>
      </c>
      <c r="BD141" s="185">
        <f t="shared" si="68"/>
        <v>0</v>
      </c>
      <c r="BE141" s="185">
        <f t="shared" si="69"/>
        <v>0</v>
      </c>
    </row>
    <row r="142" spans="1:57" s="90" customFormat="1" ht="15" hidden="1" customHeight="1" x14ac:dyDescent="0.25">
      <c r="A142" s="187" t="b">
        <v>1</v>
      </c>
      <c r="B142" s="188" t="b">
        <v>1</v>
      </c>
      <c r="C142" s="179" t="e">
        <f t="shared" si="47"/>
        <v>#N/A</v>
      </c>
      <c r="E142" s="180">
        <v>2113</v>
      </c>
      <c r="F142" s="100">
        <f t="shared" si="71"/>
        <v>155</v>
      </c>
      <c r="G142" s="181">
        <f t="shared" si="48"/>
        <v>-90</v>
      </c>
      <c r="H142" s="181" t="e">
        <f t="shared" si="70"/>
        <v>#N/A</v>
      </c>
      <c r="J142" s="182">
        <v>0</v>
      </c>
      <c r="K142" s="101"/>
      <c r="L142" s="183" t="e">
        <f t="shared" si="49"/>
        <v>#N/A</v>
      </c>
      <c r="M142" s="184"/>
      <c r="N142" s="91"/>
      <c r="O142" s="91"/>
      <c r="P142" s="90">
        <v>0</v>
      </c>
      <c r="Q142" s="87">
        <v>1</v>
      </c>
      <c r="R142" s="185">
        <v>0</v>
      </c>
      <c r="S142" s="185">
        <v>0</v>
      </c>
      <c r="T142" s="185">
        <v>0</v>
      </c>
      <c r="U142" s="185">
        <v>0</v>
      </c>
      <c r="V142" s="182">
        <v>0</v>
      </c>
      <c r="W142" s="182">
        <v>0</v>
      </c>
      <c r="X142" s="182">
        <v>0</v>
      </c>
      <c r="Y142" s="182">
        <v>0</v>
      </c>
      <c r="Z142" s="182">
        <v>0</v>
      </c>
      <c r="AA142" s="182">
        <v>0</v>
      </c>
      <c r="AB142" s="182">
        <v>0</v>
      </c>
      <c r="AC142" s="182">
        <v>0</v>
      </c>
      <c r="AD142" s="182">
        <v>0</v>
      </c>
      <c r="AE142" s="182">
        <v>0</v>
      </c>
      <c r="AF142" s="182">
        <v>0</v>
      </c>
      <c r="AG142" s="182">
        <v>0</v>
      </c>
      <c r="AH142" s="182">
        <v>0</v>
      </c>
      <c r="AI142" s="182">
        <v>0</v>
      </c>
      <c r="AJ142" s="182">
        <v>0</v>
      </c>
      <c r="AL142" s="185">
        <f t="shared" si="50"/>
        <v>1</v>
      </c>
      <c r="AM142" s="185">
        <f t="shared" si="51"/>
        <v>0</v>
      </c>
      <c r="AN142" s="185">
        <f t="shared" si="52"/>
        <v>0</v>
      </c>
      <c r="AO142" s="185">
        <f t="shared" si="53"/>
        <v>0</v>
      </c>
      <c r="AP142" s="185">
        <f t="shared" si="54"/>
        <v>0</v>
      </c>
      <c r="AQ142" s="185">
        <f t="shared" si="55"/>
        <v>0</v>
      </c>
      <c r="AR142" s="185">
        <f t="shared" si="56"/>
        <v>0</v>
      </c>
      <c r="AS142" s="185">
        <f t="shared" si="57"/>
        <v>0</v>
      </c>
      <c r="AT142" s="185">
        <f t="shared" si="58"/>
        <v>0</v>
      </c>
      <c r="AU142" s="185">
        <f t="shared" si="59"/>
        <v>0</v>
      </c>
      <c r="AV142" s="185">
        <f t="shared" si="60"/>
        <v>0</v>
      </c>
      <c r="AW142" s="185">
        <f t="shared" si="61"/>
        <v>0</v>
      </c>
      <c r="AX142" s="185">
        <f t="shared" si="62"/>
        <v>0</v>
      </c>
      <c r="AY142" s="185">
        <f t="shared" si="63"/>
        <v>0</v>
      </c>
      <c r="AZ142" s="185">
        <f t="shared" si="64"/>
        <v>0</v>
      </c>
      <c r="BA142" s="185">
        <f t="shared" si="65"/>
        <v>0</v>
      </c>
      <c r="BB142" s="185">
        <f t="shared" si="66"/>
        <v>0</v>
      </c>
      <c r="BC142" s="185">
        <f t="shared" si="67"/>
        <v>0</v>
      </c>
      <c r="BD142" s="185">
        <f t="shared" si="68"/>
        <v>0</v>
      </c>
      <c r="BE142" s="185">
        <f t="shared" si="69"/>
        <v>0</v>
      </c>
    </row>
    <row r="143" spans="1:57" s="90" customFormat="1" ht="15" hidden="1" customHeight="1" x14ac:dyDescent="0.25">
      <c r="A143" s="187" t="b">
        <v>1</v>
      </c>
      <c r="B143" s="188" t="b">
        <v>1</v>
      </c>
      <c r="C143" s="179" t="e">
        <f t="shared" si="47"/>
        <v>#N/A</v>
      </c>
      <c r="E143" s="180">
        <v>2114</v>
      </c>
      <c r="F143" s="100">
        <f t="shared" si="71"/>
        <v>156</v>
      </c>
      <c r="G143" s="181">
        <f>Pension_age-F143</f>
        <v>-91</v>
      </c>
      <c r="H143" s="181" t="e">
        <f t="shared" si="70"/>
        <v>#N/A</v>
      </c>
      <c r="J143" s="182">
        <v>0</v>
      </c>
      <c r="K143" s="101"/>
      <c r="L143" s="183" t="e">
        <f t="shared" si="49"/>
        <v>#N/A</v>
      </c>
      <c r="M143" s="184"/>
      <c r="N143" s="91"/>
      <c r="O143" s="91"/>
      <c r="P143" s="90">
        <v>0</v>
      </c>
      <c r="Q143" s="87">
        <v>1</v>
      </c>
      <c r="R143" s="185">
        <v>0</v>
      </c>
      <c r="S143" s="185">
        <v>0</v>
      </c>
      <c r="T143" s="185">
        <v>0</v>
      </c>
      <c r="U143" s="185">
        <v>0</v>
      </c>
      <c r="V143" s="182">
        <v>0</v>
      </c>
      <c r="W143" s="182">
        <v>0</v>
      </c>
      <c r="X143" s="182">
        <v>0</v>
      </c>
      <c r="Y143" s="182">
        <v>0</v>
      </c>
      <c r="Z143" s="182">
        <v>0</v>
      </c>
      <c r="AA143" s="182">
        <v>0</v>
      </c>
      <c r="AB143" s="182">
        <v>0</v>
      </c>
      <c r="AC143" s="182">
        <v>0</v>
      </c>
      <c r="AD143" s="182">
        <v>0</v>
      </c>
      <c r="AE143" s="182">
        <v>0</v>
      </c>
      <c r="AF143" s="182">
        <v>0</v>
      </c>
      <c r="AG143" s="182">
        <v>0</v>
      </c>
      <c r="AH143" s="182">
        <v>0</v>
      </c>
      <c r="AI143" s="182">
        <v>0</v>
      </c>
      <c r="AJ143" s="182">
        <v>0</v>
      </c>
      <c r="AL143" s="185">
        <f t="shared" si="50"/>
        <v>1</v>
      </c>
      <c r="AM143" s="185">
        <f t="shared" si="51"/>
        <v>0</v>
      </c>
      <c r="AN143" s="185">
        <f t="shared" si="52"/>
        <v>0</v>
      </c>
      <c r="AO143" s="185">
        <f t="shared" si="53"/>
        <v>0</v>
      </c>
      <c r="AP143" s="185">
        <f t="shared" si="54"/>
        <v>0</v>
      </c>
      <c r="AQ143" s="185">
        <f t="shared" si="55"/>
        <v>0</v>
      </c>
      <c r="AR143" s="185">
        <f t="shared" si="56"/>
        <v>0</v>
      </c>
      <c r="AS143" s="185">
        <f t="shared" si="57"/>
        <v>0</v>
      </c>
      <c r="AT143" s="185">
        <f t="shared" si="58"/>
        <v>0</v>
      </c>
      <c r="AU143" s="185">
        <f t="shared" si="59"/>
        <v>0</v>
      </c>
      <c r="AV143" s="185">
        <f t="shared" si="60"/>
        <v>0</v>
      </c>
      <c r="AW143" s="185">
        <f t="shared" si="61"/>
        <v>0</v>
      </c>
      <c r="AX143" s="185">
        <f t="shared" si="62"/>
        <v>0</v>
      </c>
      <c r="AY143" s="185">
        <f t="shared" si="63"/>
        <v>0</v>
      </c>
      <c r="AZ143" s="185">
        <f t="shared" si="64"/>
        <v>0</v>
      </c>
      <c r="BA143" s="185">
        <f t="shared" si="65"/>
        <v>0</v>
      </c>
      <c r="BB143" s="185">
        <f t="shared" si="66"/>
        <v>0</v>
      </c>
      <c r="BC143" s="185">
        <f t="shared" si="67"/>
        <v>0</v>
      </c>
      <c r="BD143" s="185">
        <f t="shared" si="68"/>
        <v>0</v>
      </c>
      <c r="BE143" s="185">
        <f t="shared" si="69"/>
        <v>0</v>
      </c>
    </row>
    <row r="144" spans="1:57" s="90" customFormat="1" ht="15" hidden="1" customHeight="1" x14ac:dyDescent="0.25">
      <c r="A144" s="187" t="b">
        <v>1</v>
      </c>
      <c r="B144" s="188" t="b">
        <v>1</v>
      </c>
      <c r="C144" s="179" t="e">
        <f t="shared" si="47"/>
        <v>#N/A</v>
      </c>
      <c r="E144" s="180">
        <v>2115</v>
      </c>
      <c r="F144" s="100">
        <f t="shared" si="71"/>
        <v>157</v>
      </c>
      <c r="G144" s="181">
        <f>Pension_age-F144</f>
        <v>-92</v>
      </c>
      <c r="H144" s="181" t="e">
        <f t="shared" si="70"/>
        <v>#N/A</v>
      </c>
      <c r="J144" s="182">
        <v>0</v>
      </c>
      <c r="K144" s="101"/>
      <c r="L144" s="183" t="e">
        <f t="shared" si="49"/>
        <v>#N/A</v>
      </c>
      <c r="M144" s="184"/>
      <c r="N144" s="91"/>
      <c r="O144" s="91"/>
      <c r="P144" s="90">
        <v>0</v>
      </c>
      <c r="Q144" s="87">
        <v>1</v>
      </c>
      <c r="R144" s="185">
        <v>0</v>
      </c>
      <c r="S144" s="185">
        <v>0</v>
      </c>
      <c r="T144" s="185">
        <v>0</v>
      </c>
      <c r="U144" s="185">
        <v>0</v>
      </c>
      <c r="V144" s="182">
        <v>0</v>
      </c>
      <c r="W144" s="182">
        <v>0</v>
      </c>
      <c r="X144" s="182">
        <v>0</v>
      </c>
      <c r="Y144" s="182">
        <v>0</v>
      </c>
      <c r="Z144" s="182">
        <v>0</v>
      </c>
      <c r="AA144" s="182">
        <v>0</v>
      </c>
      <c r="AB144" s="182">
        <v>0</v>
      </c>
      <c r="AC144" s="182">
        <v>0</v>
      </c>
      <c r="AD144" s="182">
        <v>0</v>
      </c>
      <c r="AE144" s="182">
        <v>0</v>
      </c>
      <c r="AF144" s="182">
        <v>0</v>
      </c>
      <c r="AG144" s="182">
        <v>0</v>
      </c>
      <c r="AH144" s="182">
        <v>0</v>
      </c>
      <c r="AI144" s="182">
        <v>0</v>
      </c>
      <c r="AJ144" s="182">
        <v>0</v>
      </c>
      <c r="AL144" s="185">
        <f t="shared" si="50"/>
        <v>1</v>
      </c>
      <c r="AM144" s="185">
        <f t="shared" si="51"/>
        <v>0</v>
      </c>
      <c r="AN144" s="185">
        <f t="shared" si="52"/>
        <v>0</v>
      </c>
      <c r="AO144" s="185">
        <f t="shared" si="53"/>
        <v>0</v>
      </c>
      <c r="AP144" s="185">
        <f t="shared" si="54"/>
        <v>0</v>
      </c>
      <c r="AQ144" s="185">
        <f t="shared" si="55"/>
        <v>0</v>
      </c>
      <c r="AR144" s="185">
        <f t="shared" si="56"/>
        <v>0</v>
      </c>
      <c r="AS144" s="185">
        <f t="shared" si="57"/>
        <v>0</v>
      </c>
      <c r="AT144" s="185">
        <f t="shared" si="58"/>
        <v>0</v>
      </c>
      <c r="AU144" s="185">
        <f t="shared" si="59"/>
        <v>0</v>
      </c>
      <c r="AV144" s="185">
        <f t="shared" si="60"/>
        <v>0</v>
      </c>
      <c r="AW144" s="185">
        <f t="shared" si="61"/>
        <v>0</v>
      </c>
      <c r="AX144" s="185">
        <f t="shared" si="62"/>
        <v>0</v>
      </c>
      <c r="AY144" s="185">
        <f t="shared" si="63"/>
        <v>0</v>
      </c>
      <c r="AZ144" s="185">
        <f t="shared" si="64"/>
        <v>0</v>
      </c>
      <c r="BA144" s="185">
        <f t="shared" si="65"/>
        <v>0</v>
      </c>
      <c r="BB144" s="185">
        <f t="shared" si="66"/>
        <v>0</v>
      </c>
      <c r="BC144" s="185">
        <f t="shared" si="67"/>
        <v>0</v>
      </c>
      <c r="BD144" s="185">
        <f t="shared" si="68"/>
        <v>0</v>
      </c>
      <c r="BE144" s="185">
        <f t="shared" si="69"/>
        <v>0</v>
      </c>
    </row>
    <row r="145" spans="1:57" s="90" customFormat="1" ht="15" hidden="1" customHeight="1" x14ac:dyDescent="0.25">
      <c r="A145" s="187" t="b">
        <v>1</v>
      </c>
      <c r="B145" s="188" t="b">
        <v>1</v>
      </c>
      <c r="C145" s="179" t="e">
        <f t="shared" si="47"/>
        <v>#N/A</v>
      </c>
      <c r="E145" s="180">
        <v>2116</v>
      </c>
      <c r="F145" s="100">
        <f t="shared" si="71"/>
        <v>158</v>
      </c>
      <c r="G145" s="181">
        <f>Pension_age-F145</f>
        <v>-93</v>
      </c>
      <c r="H145" s="181" t="e">
        <f t="shared" si="70"/>
        <v>#N/A</v>
      </c>
      <c r="J145" s="182">
        <v>0</v>
      </c>
      <c r="K145" s="101"/>
      <c r="L145" s="183" t="e">
        <f t="shared" si="49"/>
        <v>#N/A</v>
      </c>
      <c r="M145" s="184"/>
      <c r="N145" s="91"/>
      <c r="O145" s="91"/>
      <c r="P145" s="90">
        <v>0</v>
      </c>
      <c r="Q145" s="87">
        <v>1</v>
      </c>
      <c r="R145" s="185">
        <v>0</v>
      </c>
      <c r="S145" s="185">
        <v>0</v>
      </c>
      <c r="T145" s="185">
        <v>0</v>
      </c>
      <c r="U145" s="185">
        <v>0</v>
      </c>
      <c r="V145" s="182">
        <v>0</v>
      </c>
      <c r="W145" s="182">
        <v>0</v>
      </c>
      <c r="X145" s="182">
        <v>0</v>
      </c>
      <c r="Y145" s="182">
        <v>0</v>
      </c>
      <c r="Z145" s="182">
        <v>0</v>
      </c>
      <c r="AA145" s="182">
        <v>0</v>
      </c>
      <c r="AB145" s="182">
        <v>0</v>
      </c>
      <c r="AC145" s="182">
        <v>0</v>
      </c>
      <c r="AD145" s="182">
        <v>0</v>
      </c>
      <c r="AE145" s="182">
        <v>0</v>
      </c>
      <c r="AF145" s="182">
        <v>0</v>
      </c>
      <c r="AG145" s="182">
        <v>0</v>
      </c>
      <c r="AH145" s="182">
        <v>0</v>
      </c>
      <c r="AI145" s="182">
        <v>0</v>
      </c>
      <c r="AJ145" s="182">
        <v>0</v>
      </c>
      <c r="AL145" s="185">
        <f t="shared" si="50"/>
        <v>1</v>
      </c>
      <c r="AM145" s="185">
        <f t="shared" si="51"/>
        <v>0</v>
      </c>
      <c r="AN145" s="185">
        <f t="shared" si="52"/>
        <v>0</v>
      </c>
      <c r="AO145" s="185">
        <f t="shared" si="53"/>
        <v>0</v>
      </c>
      <c r="AP145" s="185">
        <f t="shared" si="54"/>
        <v>0</v>
      </c>
      <c r="AQ145" s="185">
        <f t="shared" si="55"/>
        <v>0</v>
      </c>
      <c r="AR145" s="185">
        <f t="shared" si="56"/>
        <v>0</v>
      </c>
      <c r="AS145" s="185">
        <f t="shared" si="57"/>
        <v>0</v>
      </c>
      <c r="AT145" s="185">
        <f t="shared" si="58"/>
        <v>0</v>
      </c>
      <c r="AU145" s="185">
        <f t="shared" si="59"/>
        <v>0</v>
      </c>
      <c r="AV145" s="185">
        <f t="shared" si="60"/>
        <v>0</v>
      </c>
      <c r="AW145" s="185">
        <f t="shared" si="61"/>
        <v>0</v>
      </c>
      <c r="AX145" s="185">
        <f t="shared" si="62"/>
        <v>0</v>
      </c>
      <c r="AY145" s="185">
        <f t="shared" si="63"/>
        <v>0</v>
      </c>
      <c r="AZ145" s="185">
        <f t="shared" si="64"/>
        <v>0</v>
      </c>
      <c r="BA145" s="185">
        <f t="shared" si="65"/>
        <v>0</v>
      </c>
      <c r="BB145" s="185">
        <f t="shared" si="66"/>
        <v>0</v>
      </c>
      <c r="BC145" s="185">
        <f t="shared" si="67"/>
        <v>0</v>
      </c>
      <c r="BD145" s="185">
        <f t="shared" si="68"/>
        <v>0</v>
      </c>
      <c r="BE145" s="185">
        <f t="shared" si="69"/>
        <v>0</v>
      </c>
    </row>
    <row r="146" spans="1:57" s="90" customFormat="1" ht="15" hidden="1" customHeight="1" x14ac:dyDescent="0.25">
      <c r="A146" s="187" t="b">
        <v>1</v>
      </c>
      <c r="B146" s="188" t="b">
        <v>1</v>
      </c>
      <c r="C146" s="179" t="e">
        <f t="shared" si="47"/>
        <v>#N/A</v>
      </c>
      <c r="E146" s="180">
        <v>2117</v>
      </c>
      <c r="F146" s="100">
        <f t="shared" si="71"/>
        <v>159</v>
      </c>
      <c r="G146" s="181">
        <f>Pension_age-F146</f>
        <v>-94</v>
      </c>
      <c r="H146" s="181" t="e">
        <f t="shared" si="70"/>
        <v>#N/A</v>
      </c>
      <c r="J146" s="182">
        <v>0</v>
      </c>
      <c r="K146" s="101"/>
      <c r="L146" s="183" t="e">
        <f t="shared" si="49"/>
        <v>#N/A</v>
      </c>
      <c r="M146" s="184"/>
      <c r="N146" s="91"/>
      <c r="O146" s="91"/>
      <c r="P146" s="90">
        <v>0</v>
      </c>
      <c r="Q146" s="87">
        <v>1</v>
      </c>
      <c r="R146" s="185">
        <v>0</v>
      </c>
      <c r="S146" s="185">
        <v>0</v>
      </c>
      <c r="T146" s="185">
        <v>0</v>
      </c>
      <c r="U146" s="185">
        <v>0</v>
      </c>
      <c r="V146" s="182">
        <v>0</v>
      </c>
      <c r="W146" s="182">
        <v>0</v>
      </c>
      <c r="X146" s="182">
        <v>0</v>
      </c>
      <c r="Y146" s="182">
        <v>0</v>
      </c>
      <c r="Z146" s="182">
        <v>0</v>
      </c>
      <c r="AA146" s="182">
        <v>0</v>
      </c>
      <c r="AB146" s="182">
        <v>0</v>
      </c>
      <c r="AC146" s="182">
        <v>0</v>
      </c>
      <c r="AD146" s="182">
        <v>0</v>
      </c>
      <c r="AE146" s="182">
        <v>0</v>
      </c>
      <c r="AF146" s="182">
        <v>0</v>
      </c>
      <c r="AG146" s="182">
        <v>0</v>
      </c>
      <c r="AH146" s="182">
        <v>0</v>
      </c>
      <c r="AI146" s="182">
        <v>0</v>
      </c>
      <c r="AJ146" s="182">
        <v>0</v>
      </c>
      <c r="AL146" s="185">
        <f t="shared" si="50"/>
        <v>1</v>
      </c>
      <c r="AM146" s="185">
        <f t="shared" si="51"/>
        <v>0</v>
      </c>
      <c r="AN146" s="185">
        <f t="shared" si="52"/>
        <v>0</v>
      </c>
      <c r="AO146" s="185">
        <f t="shared" si="53"/>
        <v>0</v>
      </c>
      <c r="AP146" s="185">
        <f t="shared" si="54"/>
        <v>0</v>
      </c>
      <c r="AQ146" s="185">
        <f t="shared" si="55"/>
        <v>0</v>
      </c>
      <c r="AR146" s="185">
        <f t="shared" si="56"/>
        <v>0</v>
      </c>
      <c r="AS146" s="185">
        <f t="shared" si="57"/>
        <v>0</v>
      </c>
      <c r="AT146" s="185">
        <f t="shared" si="58"/>
        <v>0</v>
      </c>
      <c r="AU146" s="185">
        <f t="shared" si="59"/>
        <v>0</v>
      </c>
      <c r="AV146" s="185">
        <f t="shared" si="60"/>
        <v>0</v>
      </c>
      <c r="AW146" s="185">
        <f t="shared" si="61"/>
        <v>0</v>
      </c>
      <c r="AX146" s="185">
        <f t="shared" si="62"/>
        <v>0</v>
      </c>
      <c r="AY146" s="185">
        <f t="shared" si="63"/>
        <v>0</v>
      </c>
      <c r="AZ146" s="185">
        <f t="shared" si="64"/>
        <v>0</v>
      </c>
      <c r="BA146" s="185">
        <f t="shared" si="65"/>
        <v>0</v>
      </c>
      <c r="BB146" s="185">
        <f t="shared" si="66"/>
        <v>0</v>
      </c>
      <c r="BC146" s="185">
        <f t="shared" si="67"/>
        <v>0</v>
      </c>
      <c r="BD146" s="185">
        <f t="shared" si="68"/>
        <v>0</v>
      </c>
      <c r="BE146" s="185">
        <f t="shared" si="69"/>
        <v>0</v>
      </c>
    </row>
    <row r="147" spans="1:57" s="90" customFormat="1" ht="15" hidden="1" customHeight="1" x14ac:dyDescent="0.25">
      <c r="A147" s="189" t="b">
        <v>1</v>
      </c>
      <c r="B147" s="190" t="b">
        <v>1</v>
      </c>
      <c r="C147" s="179" t="e">
        <f t="shared" si="47"/>
        <v>#N/A</v>
      </c>
      <c r="E147" s="180">
        <v>2118</v>
      </c>
      <c r="F147" s="100">
        <f t="shared" si="71"/>
        <v>160</v>
      </c>
      <c r="G147" s="181">
        <f>Pension_age-F147</f>
        <v>-95</v>
      </c>
      <c r="H147" s="181" t="e">
        <f t="shared" si="70"/>
        <v>#N/A</v>
      </c>
      <c r="J147" s="182">
        <v>0</v>
      </c>
      <c r="K147" s="101"/>
      <c r="L147" s="183" t="e">
        <f t="shared" si="49"/>
        <v>#N/A</v>
      </c>
      <c r="M147" s="184"/>
      <c r="N147" s="91"/>
      <c r="O147" s="91"/>
      <c r="P147" s="90">
        <v>0</v>
      </c>
      <c r="Q147" s="87">
        <v>1</v>
      </c>
      <c r="R147" s="185">
        <v>0</v>
      </c>
      <c r="S147" s="185">
        <v>0</v>
      </c>
      <c r="T147" s="185">
        <v>0</v>
      </c>
      <c r="U147" s="185">
        <v>0</v>
      </c>
      <c r="V147" s="182">
        <v>0</v>
      </c>
      <c r="W147" s="182">
        <v>0</v>
      </c>
      <c r="X147" s="182">
        <v>0</v>
      </c>
      <c r="Y147" s="182">
        <v>0</v>
      </c>
      <c r="Z147" s="182">
        <v>0</v>
      </c>
      <c r="AA147" s="182">
        <v>0</v>
      </c>
      <c r="AB147" s="182">
        <v>0</v>
      </c>
      <c r="AC147" s="182">
        <v>0</v>
      </c>
      <c r="AD147" s="182">
        <v>0</v>
      </c>
      <c r="AE147" s="182">
        <v>0</v>
      </c>
      <c r="AF147" s="182">
        <v>0</v>
      </c>
      <c r="AG147" s="182">
        <v>0</v>
      </c>
      <c r="AH147" s="182">
        <v>0</v>
      </c>
      <c r="AI147" s="182">
        <v>0</v>
      </c>
      <c r="AJ147" s="182">
        <v>0</v>
      </c>
      <c r="AL147" s="185">
        <f t="shared" si="50"/>
        <v>1</v>
      </c>
      <c r="AM147" s="185">
        <f t="shared" si="51"/>
        <v>0</v>
      </c>
      <c r="AN147" s="185">
        <f t="shared" si="52"/>
        <v>0</v>
      </c>
      <c r="AO147" s="185">
        <f t="shared" si="53"/>
        <v>0</v>
      </c>
      <c r="AP147" s="185">
        <f t="shared" si="54"/>
        <v>0</v>
      </c>
      <c r="AQ147" s="185">
        <f t="shared" si="55"/>
        <v>0</v>
      </c>
      <c r="AR147" s="185">
        <f t="shared" si="56"/>
        <v>0</v>
      </c>
      <c r="AS147" s="185">
        <f t="shared" si="57"/>
        <v>0</v>
      </c>
      <c r="AT147" s="185">
        <f t="shared" si="58"/>
        <v>0</v>
      </c>
      <c r="AU147" s="185">
        <f t="shared" si="59"/>
        <v>0</v>
      </c>
      <c r="AV147" s="185">
        <f t="shared" si="60"/>
        <v>0</v>
      </c>
      <c r="AW147" s="185">
        <f t="shared" si="61"/>
        <v>0</v>
      </c>
      <c r="AX147" s="185">
        <f t="shared" si="62"/>
        <v>0</v>
      </c>
      <c r="AY147" s="185">
        <f t="shared" si="63"/>
        <v>0</v>
      </c>
      <c r="AZ147" s="185">
        <f t="shared" si="64"/>
        <v>0</v>
      </c>
      <c r="BA147" s="185">
        <f t="shared" si="65"/>
        <v>0</v>
      </c>
      <c r="BB147" s="185">
        <f t="shared" si="66"/>
        <v>0</v>
      </c>
      <c r="BC147" s="185">
        <f t="shared" si="67"/>
        <v>0</v>
      </c>
      <c r="BD147" s="185">
        <f t="shared" si="68"/>
        <v>0</v>
      </c>
      <c r="BE147" s="185">
        <f t="shared" si="69"/>
        <v>0</v>
      </c>
    </row>
  </sheetData>
  <sheetProtection algorithmName="SHA-512" hashValue="EfOXkQnm5FbQj4/euGUS/xAh08RilYarBPis1QOpQHugvEp2KuXz1gbjBbEXErWzpuTZimRHNNELgIctC6brPQ==" saltValue="O6xldADFCGPMKwT9vk9EBw==" spinCount="100000" sheet="1" objects="1" scenarios="1" selectLockedCells="1"/>
  <mergeCells count="7">
    <mergeCell ref="E9:M9"/>
    <mergeCell ref="F36:L36"/>
    <mergeCell ref="Q39:U40"/>
    <mergeCell ref="J44:J45"/>
    <mergeCell ref="L44:M44"/>
    <mergeCell ref="J16:L16"/>
    <mergeCell ref="J17:L17"/>
  </mergeCells>
  <conditionalFormatting sqref="F53:P147 L48:L147 G48:G147 E47:L48 F49:L52 N47:P52 E49:H147">
    <cfRule type="expression" dxfId="76" priority="21">
      <formula>$G47&lt;0</formula>
    </cfRule>
  </conditionalFormatting>
  <conditionalFormatting sqref="L47:L147">
    <cfRule type="expression" dxfId="75" priority="20">
      <formula>$G47&lt;0</formula>
    </cfRule>
  </conditionalFormatting>
  <conditionalFormatting sqref="M53:M147">
    <cfRule type="expression" dxfId="74" priority="19">
      <formula>$G53&lt;0</formula>
    </cfRule>
  </conditionalFormatting>
  <conditionalFormatting sqref="J19">
    <cfRule type="expression" dxfId="73" priority="25">
      <formula>(#REF!="")</formula>
    </cfRule>
  </conditionalFormatting>
  <conditionalFormatting sqref="J24:J25">
    <cfRule type="expression" dxfId="72" priority="26">
      <formula>NOT($B24)</formula>
    </cfRule>
  </conditionalFormatting>
  <conditionalFormatting sqref="F38:F39">
    <cfRule type="iconSet" priority="17">
      <iconSet iconSet="3Symbols2" showValue="0">
        <cfvo type="percent" val="0"/>
        <cfvo type="num" val="1"/>
        <cfvo type="num" val="1"/>
      </iconSet>
    </cfRule>
  </conditionalFormatting>
  <conditionalFormatting sqref="F53:P147">
    <cfRule type="expression" dxfId="71" priority="14">
      <formula>$G53&lt;0</formula>
    </cfRule>
  </conditionalFormatting>
  <conditionalFormatting sqref="M47:M52">
    <cfRule type="expression" dxfId="70" priority="13">
      <formula>$G47&lt;0</formula>
    </cfRule>
  </conditionalFormatting>
  <conditionalFormatting sqref="M47:M52">
    <cfRule type="expression" dxfId="69" priority="12">
      <formula>$G47&lt;0</formula>
    </cfRule>
  </conditionalFormatting>
  <conditionalFormatting sqref="Q47:AJ147">
    <cfRule type="expression" dxfId="68" priority="8">
      <formula>$G47&lt;0</formula>
    </cfRule>
    <cfRule type="expression" dxfId="67" priority="9">
      <formula>Q$45&gt;NumberOfAssets</formula>
    </cfRule>
  </conditionalFormatting>
  <conditionalFormatting sqref="Q47:AJ147">
    <cfRule type="expression" dxfId="66" priority="10">
      <formula>NOT($A47)</formula>
    </cfRule>
  </conditionalFormatting>
  <conditionalFormatting sqref="AL47:BE147">
    <cfRule type="expression" dxfId="65" priority="5">
      <formula>$G47&lt;0</formula>
    </cfRule>
    <cfRule type="expression" dxfId="64" priority="6">
      <formula>AL$45&gt;NumberOfAssets</formula>
    </cfRule>
    <cfRule type="expression" dxfId="63" priority="7">
      <formula>NOT($B47)</formula>
    </cfRule>
  </conditionalFormatting>
  <conditionalFormatting sqref="L24:L25">
    <cfRule type="expression" dxfId="62" priority="3">
      <formula>NOT($B24)</formula>
    </cfRule>
  </conditionalFormatting>
  <dataValidations xWindow="898" yWindow="552" count="13">
    <dataValidation type="decimal" showInputMessage="1" showErrorMessage="1" errorTitle="Incorrect asset weight" error="The value should be between 0% and 100%." promptTitle="Asset weight" prompt="Asset weight is the proportion of total pension savings invested in the asset._x000a__x000a_The value should be between 0% and 100%. The value over all assets should add up to 100%" sqref="AL47:BE147 Q47:AJ147">
      <formula1>0</formula1>
      <formula2>1</formula2>
    </dataValidation>
    <dataValidation type="decimal" allowBlank="1" showErrorMessage="1" errorTitle="Incorrect contribution rate" error="Incorrect value for the contribution rate._x000a__x000a_The contribution rate should be between 0% and 100%" promptTitle="Test" prompt="bla bla" sqref="J48:K147">
      <formula1>0</formula1>
      <formula2>1</formula2>
    </dataValidation>
    <dataValidation type="decimal" allowBlank="1" showInputMessage="1" showErrorMessage="1" errorTitle="Incorrect contribution rate" error="Incorrect value for the contribution rate._x000a__x000a_The contribution rate should be between 0% and 100%" promptTitle="Enter contribution rate" prompt="Contribution rate should be between 0% and 100%" sqref="J47:K47 M53:M147">
      <formula1>0</formula1>
      <formula2>1</formula2>
    </dataValidation>
    <dataValidation type="whole" showInputMessage="1" showErrorMessage="1" errorTitle="Incorrect pension age" error="Pension age should be between 50 and 80 years." promptTitle="Pension age" prompt="Set pension age according to best estimate. It should be between 50 and 80" sqref="J13">
      <formula1>J12+18</formula1>
      <formula2>80</formula2>
    </dataValidation>
    <dataValidation allowBlank="1" showInputMessage="1" showErrorMessage="1" promptTitle="Product name" prompt="Provide a descriptive product name or DC-fund name." sqref="J16"/>
    <dataValidation allowBlank="1" showInputMessage="1" showErrorMessage="1" promptTitle="Profile name (Optional)" prompt="Provide a profile name for identification purposes in case your DC plan features different investment profiles" sqref="J17"/>
    <dataValidation type="decimal" operator="greaterThanOrEqual" showInputMessage="1" showErrorMessage="1" errorTitle="Incorrect current pension wealth" error="Value must be non-negative." promptTitle="Current pension wealth" prompt="Provide a best estimate of pension wealth that representative for  this member. _x000a_" sqref="J21">
      <formula1>0</formula1>
    </dataValidation>
    <dataValidation allowBlank="1" errorTitle="Incorrect contribution rate" error="Incorrect value for the contribution rate._x000a__x000a_The contribution rate should be between 0% and 100%" promptTitle="Enter contribution rate" prompt="Contribution rate should be between 0% and 100%" sqref="L47:L147"/>
    <dataValidation type="decimal" operator="greaterThan" showInputMessage="1" showErrorMessage="1" errorTitle="Incorrect floor level" error="Floor level must be a non-negative number." promptTitle="Pensionable income floor level" prompt="Pensionable income is salary above this floor level.  Floor is assumed to grow  with either price or wage inflation to be set by the user._x000a__x000a_Note: contributions are only paid over pensionable income" sqref="J24">
      <formula1>0</formula1>
    </dataValidation>
    <dataValidation type="decimal" operator="greaterThanOrEqual" showInputMessage="1" showErrorMessage="1" errorTitle="Incorrect current wage" error="Value must be non-negative" promptTitle="Current wage" prompt="Provide an estimate of the current level of gross annual earnings that best represent your member population." sqref="J19">
      <formula1>0</formula1>
    </dataValidation>
    <dataValidation type="decimal" operator="greaterThan" showInputMessage="1" showErrorMessage="1" errorTitle="Incorrect floor level" error="Floor level must be a non-negative number." promptTitle="Pensionable income cap level" prompt="Pensionable income is salary below this cap level.  Cap is assumed to grow  with either price or wage inflation to be set by the user._x000a__x000a_Note: contributions are only paid over pensionable income" sqref="J25">
      <formula1>0</formula1>
    </dataValidation>
    <dataValidation type="decimal" allowBlank="1" showInputMessage="1" showErrorMessage="1" errorTitle="Incorrect salary growth" error="Incorrect value for the salary growth._x000a__x000a_The salary growth should be between -100% and 100%" promptTitle="Enter salary growth" prompt="Career salary growth should be between -100% and 100%" sqref="M47:M52">
      <formula1>-1</formula1>
      <formula2>1</formula2>
    </dataValidation>
    <dataValidation type="list" allowBlank="1" showInputMessage="1" showErrorMessage="1" sqref="L24:L25">
      <formula1>"Price, Wage"</formula1>
    </dataValidation>
  </dataValidations>
  <pageMargins left="0.7" right="0.7" top="0.75" bottom="0.75" header="0.3" footer="0.3"/>
  <pageSetup orientation="portrait" r:id="rId1"/>
  <ignoredErrors>
    <ignoredError sqref="AL48:BE147"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77825" r:id="rId4" name="chkPensionBaseFloor">
              <controlPr defaultSize="0" autoFill="0" autoLine="0" autoPict="0">
                <anchor moveWithCells="1">
                  <from>
                    <xdr:col>8</xdr:col>
                    <xdr:colOff>0</xdr:colOff>
                    <xdr:row>23</xdr:row>
                    <xdr:rowOff>0</xdr:rowOff>
                  </from>
                  <to>
                    <xdr:col>8</xdr:col>
                    <xdr:colOff>238125</xdr:colOff>
                    <xdr:row>24</xdr:row>
                    <xdr:rowOff>19050</xdr:rowOff>
                  </to>
                </anchor>
              </controlPr>
            </control>
          </mc:Choice>
        </mc:AlternateContent>
        <mc:AlternateContent xmlns:mc="http://schemas.openxmlformats.org/markup-compatibility/2006">
          <mc:Choice Requires="x14">
            <control shapeId="77826" r:id="rId5" name="chkPensionBaseCap">
              <controlPr defaultSize="0" autoFill="0" autoLine="0" autoPict="0">
                <anchor moveWithCells="1">
                  <from>
                    <xdr:col>8</xdr:col>
                    <xdr:colOff>0</xdr:colOff>
                    <xdr:row>24</xdr:row>
                    <xdr:rowOff>0</xdr:rowOff>
                  </from>
                  <to>
                    <xdr:col>8</xdr:col>
                    <xdr:colOff>266700</xdr:colOff>
                    <xdr:row>25</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iconSet" priority="18" id="{046E2625-2152-4C35-A9A9-0EADDD473E05}">
            <x14:iconSet iconSet="3Symbols2" showValue="0" custom="1">
              <x14:cfvo type="percent">
                <xm:f>0</xm:f>
              </x14:cfvo>
              <x14:cfvo type="num">
                <xm:f>0</xm:f>
              </x14:cfvo>
              <x14:cfvo type="num">
                <xm:f>1</xm:f>
              </x14:cfvo>
              <x14:cfIcon iconSet="NoIcons" iconId="0"/>
              <x14:cfIcon iconSet="NoIcons" iconId="0"/>
              <x14:cfIcon iconSet="3Symbols2" iconId="0"/>
            </x14:iconSet>
          </x14:cfRule>
          <xm:sqref>P47:P147</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6">
    <tabColor rgb="FFFFFF00"/>
  </sheetPr>
  <dimension ref="A1:M158"/>
  <sheetViews>
    <sheetView showGridLines="0" topLeftCell="D1" zoomScaleNormal="100" workbookViewId="0">
      <selection activeCell="H13" sqref="H13"/>
    </sheetView>
  </sheetViews>
  <sheetFormatPr defaultColWidth="0" defaultRowHeight="15" zeroHeight="1" x14ac:dyDescent="0.25"/>
  <cols>
    <col min="1" max="1" width="13.140625" style="89" hidden="1" customWidth="1"/>
    <col min="2" max="3" width="20.28515625" style="89" hidden="1" customWidth="1"/>
    <col min="4" max="4" width="7.140625" style="90" customWidth="1"/>
    <col min="5" max="5" width="4.85546875" style="201" customWidth="1"/>
    <col min="6" max="6" width="35" style="90" customWidth="1"/>
    <col min="7" max="7" width="5.140625" style="90" customWidth="1"/>
    <col min="8" max="8" width="32.42578125" style="90" customWidth="1"/>
    <col min="9" max="9" width="31.85546875" style="90" customWidth="1"/>
    <col min="10" max="10" width="28.85546875" style="90" customWidth="1"/>
    <col min="11" max="11" width="9.140625" style="90" customWidth="1"/>
    <col min="12" max="12" width="44" style="202" customWidth="1"/>
    <col min="13" max="13" width="9.140625" style="90" customWidth="1"/>
    <col min="14" max="16384" width="9.140625" style="90" hidden="1"/>
  </cols>
  <sheetData>
    <row r="1" spans="1:12" x14ac:dyDescent="0.25">
      <c r="A1" s="89" t="s">
        <v>71</v>
      </c>
      <c r="B1" s="89" t="s">
        <v>407</v>
      </c>
    </row>
    <row r="2" spans="1:12" x14ac:dyDescent="0.25">
      <c r="A2" s="89" t="s">
        <v>73</v>
      </c>
      <c r="B2" s="89">
        <v>1.1000000000000001</v>
      </c>
    </row>
    <row r="3" spans="1:12" ht="26.25" x14ac:dyDescent="0.4">
      <c r="A3" s="89" t="s">
        <v>89</v>
      </c>
      <c r="B3" s="89">
        <v>1</v>
      </c>
      <c r="H3" s="92" t="s">
        <v>406</v>
      </c>
      <c r="K3" s="91"/>
      <c r="L3" s="128"/>
    </row>
    <row r="4" spans="1:12" x14ac:dyDescent="0.25">
      <c r="A4" s="89" t="s">
        <v>90</v>
      </c>
      <c r="B4" s="89">
        <v>4</v>
      </c>
      <c r="J4" s="91"/>
      <c r="K4" s="91"/>
      <c r="L4" s="128"/>
    </row>
    <row r="5" spans="1:12" x14ac:dyDescent="0.25">
      <c r="A5" s="89" t="s">
        <v>91</v>
      </c>
      <c r="B5" s="89">
        <v>156</v>
      </c>
      <c r="J5" s="91"/>
      <c r="K5" s="91"/>
      <c r="L5" s="128"/>
    </row>
    <row r="6" spans="1:12" x14ac:dyDescent="0.25">
      <c r="A6" s="89" t="s">
        <v>92</v>
      </c>
      <c r="B6" s="89">
        <v>13</v>
      </c>
      <c r="J6" s="91"/>
      <c r="K6" s="91"/>
      <c r="L6" s="128"/>
    </row>
    <row r="7" spans="1:12" x14ac:dyDescent="0.25">
      <c r="A7" s="89" t="s">
        <v>94</v>
      </c>
      <c r="B7" s="209" t="b">
        <f>NOT(IsCalculationTool)</f>
        <v>1</v>
      </c>
      <c r="J7" s="132"/>
      <c r="K7" s="132"/>
    </row>
    <row r="8" spans="1:12" x14ac:dyDescent="0.25">
      <c r="A8" s="89" t="s">
        <v>96</v>
      </c>
      <c r="B8" s="89" t="b">
        <v>1</v>
      </c>
    </row>
    <row r="9" spans="1:12" ht="21" x14ac:dyDescent="0.35">
      <c r="A9" s="89" t="s">
        <v>434</v>
      </c>
      <c r="B9" s="119" t="b">
        <v>0</v>
      </c>
      <c r="E9" s="203" t="s">
        <v>611</v>
      </c>
      <c r="F9" s="204"/>
      <c r="G9" s="204"/>
      <c r="L9" s="205" t="s">
        <v>419</v>
      </c>
    </row>
    <row r="10" spans="1:12" ht="48" customHeight="1" x14ac:dyDescent="0.25">
      <c r="E10" s="201">
        <v>3</v>
      </c>
      <c r="F10" s="388" t="s">
        <v>644</v>
      </c>
      <c r="G10" s="388"/>
      <c r="H10" s="388"/>
      <c r="I10" s="388"/>
      <c r="J10" s="388"/>
      <c r="K10" s="218"/>
    </row>
    <row r="11" spans="1:12" x14ac:dyDescent="0.25"/>
    <row r="12" spans="1:12" ht="30" customHeight="1" x14ac:dyDescent="0.25">
      <c r="F12" s="95"/>
      <c r="G12" s="95"/>
      <c r="H12" s="112" t="s">
        <v>614</v>
      </c>
      <c r="I12" s="112" t="s">
        <v>613</v>
      </c>
      <c r="K12" s="91"/>
    </row>
    <row r="13" spans="1:12" x14ac:dyDescent="0.25">
      <c r="A13" s="89" t="b">
        <f>NOT(ISBLANK(H13))</f>
        <v>0</v>
      </c>
      <c r="F13" s="225" t="s">
        <v>408</v>
      </c>
      <c r="G13" s="225"/>
      <c r="H13" s="56"/>
      <c r="I13" s="56"/>
      <c r="K13" s="101"/>
      <c r="L13" s="208"/>
    </row>
    <row r="14" spans="1:12" x14ac:dyDescent="0.25">
      <c r="A14" s="89" t="b">
        <f>NOT(ISBLANK(H14))</f>
        <v>0</v>
      </c>
      <c r="F14" s="95" t="s">
        <v>409</v>
      </c>
      <c r="G14" s="95"/>
      <c r="H14" s="56"/>
      <c r="I14" s="56"/>
      <c r="K14" s="91"/>
      <c r="L14" s="208"/>
    </row>
    <row r="15" spans="1:12" x14ac:dyDescent="0.25">
      <c r="A15" s="89" t="b">
        <f>NOT(ISBLANK(H15))</f>
        <v>0</v>
      </c>
      <c r="F15" s="95" t="s">
        <v>410</v>
      </c>
      <c r="G15" s="95"/>
      <c r="H15" s="56"/>
      <c r="I15" s="56"/>
      <c r="K15" s="91"/>
      <c r="L15" s="208"/>
    </row>
    <row r="16" spans="1:12" x14ac:dyDescent="0.25">
      <c r="F16" s="146" t="s">
        <v>610</v>
      </c>
      <c r="G16" s="123"/>
      <c r="H16" s="221">
        <f>SUM(H13:H15)</f>
        <v>0</v>
      </c>
      <c r="I16" s="221">
        <f>SUM(I13:I15)</f>
        <v>0</v>
      </c>
      <c r="K16" s="91"/>
      <c r="L16" s="208"/>
    </row>
    <row r="17" spans="5:12" x14ac:dyDescent="0.25">
      <c r="H17" s="207"/>
    </row>
    <row r="18" spans="5:12" ht="36" customHeight="1" x14ac:dyDescent="0.25">
      <c r="E18" s="201">
        <v>4</v>
      </c>
      <c r="F18" s="388" t="s">
        <v>645</v>
      </c>
      <c r="G18" s="388"/>
      <c r="H18" s="388"/>
      <c r="I18" s="388"/>
      <c r="J18" s="388"/>
      <c r="K18" s="218"/>
    </row>
    <row r="19" spans="5:12" ht="12" customHeight="1" x14ac:dyDescent="0.25">
      <c r="F19" s="206"/>
      <c r="G19" s="206"/>
      <c r="H19" s="207"/>
    </row>
    <row r="20" spans="5:12" ht="30.75" customHeight="1" x14ac:dyDescent="0.25">
      <c r="F20" s="104" t="s">
        <v>430</v>
      </c>
      <c r="G20" s="95"/>
      <c r="H20" s="200" t="s">
        <v>612</v>
      </c>
      <c r="I20" s="200" t="s">
        <v>613</v>
      </c>
    </row>
    <row r="21" spans="5:12" x14ac:dyDescent="0.25">
      <c r="F21" s="95" t="s">
        <v>420</v>
      </c>
      <c r="G21" s="95"/>
      <c r="H21" s="56"/>
      <c r="I21" s="56"/>
      <c r="L21" s="208"/>
    </row>
    <row r="22" spans="5:12" x14ac:dyDescent="0.25">
      <c r="F22" s="95" t="s">
        <v>421</v>
      </c>
      <c r="G22" s="95"/>
      <c r="H22" s="56"/>
      <c r="I22" s="56"/>
      <c r="L22" s="208"/>
    </row>
    <row r="23" spans="5:12" x14ac:dyDescent="0.25">
      <c r="F23" s="95" t="s">
        <v>422</v>
      </c>
      <c r="G23" s="95"/>
      <c r="H23" s="56"/>
      <c r="I23" s="56"/>
      <c r="L23" s="208"/>
    </row>
    <row r="24" spans="5:12" x14ac:dyDescent="0.25">
      <c r="F24" s="95" t="s">
        <v>423</v>
      </c>
      <c r="G24" s="95"/>
      <c r="H24" s="56"/>
      <c r="I24" s="56"/>
      <c r="L24" s="208"/>
    </row>
    <row r="25" spans="5:12" x14ac:dyDescent="0.25">
      <c r="F25" s="95" t="s">
        <v>424</v>
      </c>
      <c r="G25" s="95"/>
      <c r="H25" s="56"/>
      <c r="I25" s="56"/>
      <c r="L25" s="208"/>
    </row>
    <row r="26" spans="5:12" x14ac:dyDescent="0.25">
      <c r="F26" s="95" t="s">
        <v>425</v>
      </c>
      <c r="G26" s="95"/>
      <c r="H26" s="56"/>
      <c r="I26" s="56"/>
      <c r="L26" s="208"/>
    </row>
    <row r="27" spans="5:12" x14ac:dyDescent="0.25">
      <c r="F27" s="95" t="s">
        <v>426</v>
      </c>
      <c r="G27" s="95"/>
      <c r="H27" s="56"/>
      <c r="I27" s="56"/>
      <c r="L27" s="208"/>
    </row>
    <row r="28" spans="5:12" x14ac:dyDescent="0.25">
      <c r="F28" s="95" t="s">
        <v>427</v>
      </c>
      <c r="G28" s="95"/>
      <c r="H28" s="56"/>
      <c r="I28" s="56"/>
      <c r="L28" s="208"/>
    </row>
    <row r="29" spans="5:12" x14ac:dyDescent="0.25">
      <c r="F29" s="95" t="s">
        <v>123</v>
      </c>
      <c r="G29" s="95"/>
      <c r="H29" s="221">
        <f>SUM(H21:H28)</f>
        <v>0</v>
      </c>
      <c r="I29" s="221">
        <f>SUM(I21:I28)</f>
        <v>0</v>
      </c>
      <c r="L29" s="208"/>
    </row>
    <row r="30" spans="5:12" x14ac:dyDescent="0.25"/>
    <row r="31" spans="5:12" x14ac:dyDescent="0.25"/>
    <row r="32" spans="5:12" ht="21" x14ac:dyDescent="0.25">
      <c r="E32" s="203" t="s">
        <v>615</v>
      </c>
    </row>
    <row r="33" spans="2:12" ht="29.25" customHeight="1" x14ac:dyDescent="0.25">
      <c r="E33" s="201">
        <v>5</v>
      </c>
      <c r="F33" s="388" t="s">
        <v>411</v>
      </c>
      <c r="G33" s="388"/>
      <c r="H33" s="388"/>
      <c r="I33" s="388"/>
      <c r="J33" s="388"/>
      <c r="K33" s="217"/>
    </row>
    <row r="34" spans="2:12" x14ac:dyDescent="0.25"/>
    <row r="35" spans="2:12" x14ac:dyDescent="0.25">
      <c r="F35" s="95" t="s">
        <v>412</v>
      </c>
      <c r="G35" s="95"/>
      <c r="H35" s="56"/>
      <c r="L35" s="208"/>
    </row>
    <row r="36" spans="2:12" x14ac:dyDescent="0.25"/>
    <row r="37" spans="2:12" x14ac:dyDescent="0.25">
      <c r="E37" s="201">
        <v>6</v>
      </c>
      <c r="F37" s="90" t="s">
        <v>431</v>
      </c>
    </row>
    <row r="38" spans="2:12" x14ac:dyDescent="0.25"/>
    <row r="39" spans="2:12" x14ac:dyDescent="0.25">
      <c r="F39" s="95" t="s">
        <v>418</v>
      </c>
      <c r="G39" s="95"/>
      <c r="H39" s="56"/>
      <c r="L39" s="208"/>
    </row>
    <row r="40" spans="2:12" x14ac:dyDescent="0.25"/>
    <row r="41" spans="2:12" x14ac:dyDescent="0.25">
      <c r="F41" s="95" t="s">
        <v>433</v>
      </c>
      <c r="G41" s="95"/>
      <c r="H41" s="95"/>
      <c r="I41" s="95"/>
      <c r="J41" s="95"/>
      <c r="K41" s="95"/>
    </row>
    <row r="42" spans="2:12" ht="48" customHeight="1" x14ac:dyDescent="0.25">
      <c r="F42" s="406"/>
      <c r="G42" s="406"/>
      <c r="H42" s="406"/>
      <c r="I42" s="406"/>
      <c r="J42" s="406"/>
      <c r="K42" s="406"/>
    </row>
    <row r="43" spans="2:12" x14ac:dyDescent="0.25"/>
    <row r="44" spans="2:12" x14ac:dyDescent="0.25">
      <c r="E44" s="201">
        <v>7</v>
      </c>
      <c r="F44" s="90" t="s">
        <v>432</v>
      </c>
    </row>
    <row r="45" spans="2:12" x14ac:dyDescent="0.25"/>
    <row r="46" spans="2:12" ht="18.75" customHeight="1" x14ac:dyDescent="0.25">
      <c r="B46" s="227" t="b">
        <v>0</v>
      </c>
      <c r="F46" s="95" t="s">
        <v>616</v>
      </c>
      <c r="G46" s="66"/>
      <c r="L46" s="208"/>
    </row>
    <row r="47" spans="2:12" ht="18.75" customHeight="1" x14ac:dyDescent="0.25">
      <c r="B47" s="227" t="b">
        <v>0</v>
      </c>
      <c r="F47" s="95" t="s">
        <v>617</v>
      </c>
      <c r="G47" s="66"/>
      <c r="L47" s="208"/>
    </row>
    <row r="48" spans="2:12" ht="18.75" customHeight="1" x14ac:dyDescent="0.25">
      <c r="B48" s="227" t="b">
        <v>0</v>
      </c>
      <c r="F48" s="95" t="s">
        <v>618</v>
      </c>
      <c r="G48" s="66"/>
      <c r="L48" s="208"/>
    </row>
    <row r="49" spans="2:12" ht="18.75" customHeight="1" x14ac:dyDescent="0.25">
      <c r="B49" s="227" t="b">
        <v>0</v>
      </c>
      <c r="F49" s="95" t="s">
        <v>253</v>
      </c>
      <c r="G49" s="66"/>
      <c r="L49" s="208"/>
    </row>
    <row r="50" spans="2:12" ht="18.75" customHeight="1" x14ac:dyDescent="0.25">
      <c r="B50" s="227" t="b">
        <v>0</v>
      </c>
      <c r="F50" s="95" t="s">
        <v>619</v>
      </c>
      <c r="G50" s="66"/>
      <c r="L50" s="208"/>
    </row>
    <row r="51" spans="2:12" ht="18.75" customHeight="1" x14ac:dyDescent="0.25">
      <c r="B51" s="227" t="b">
        <v>0</v>
      </c>
      <c r="F51" s="95" t="s">
        <v>620</v>
      </c>
      <c r="G51" s="66"/>
      <c r="L51" s="208"/>
    </row>
    <row r="52" spans="2:12" ht="18.75" customHeight="1" x14ac:dyDescent="0.25">
      <c r="B52" s="227" t="b">
        <v>0</v>
      </c>
      <c r="F52" s="95" t="s">
        <v>621</v>
      </c>
      <c r="G52" s="66"/>
      <c r="L52" s="208"/>
    </row>
    <row r="53" spans="2:12" x14ac:dyDescent="0.25"/>
    <row r="54" spans="2:12" x14ac:dyDescent="0.25">
      <c r="E54" s="201">
        <v>8</v>
      </c>
      <c r="F54" s="401" t="s">
        <v>622</v>
      </c>
      <c r="G54" s="401"/>
      <c r="H54" s="401"/>
      <c r="I54" s="401"/>
      <c r="J54" s="401"/>
    </row>
    <row r="55" spans="2:12" ht="52.5" customHeight="1" x14ac:dyDescent="0.25">
      <c r="F55" s="398"/>
      <c r="G55" s="399"/>
      <c r="H55" s="399"/>
      <c r="I55" s="399"/>
      <c r="J55" s="400"/>
    </row>
    <row r="56" spans="2:12" x14ac:dyDescent="0.25"/>
    <row r="57" spans="2:12" ht="30" customHeight="1" x14ac:dyDescent="0.25">
      <c r="E57" s="201">
        <v>9</v>
      </c>
      <c r="F57" s="388" t="s">
        <v>413</v>
      </c>
      <c r="G57" s="388"/>
      <c r="H57" s="388"/>
      <c r="I57" s="388"/>
      <c r="J57" s="388"/>
      <c r="K57" s="217"/>
    </row>
    <row r="58" spans="2:12" x14ac:dyDescent="0.25"/>
    <row r="59" spans="2:12" ht="18.75" customHeight="1" x14ac:dyDescent="0.25">
      <c r="B59" s="227" t="b">
        <v>0</v>
      </c>
      <c r="F59" s="95" t="s">
        <v>414</v>
      </c>
      <c r="G59" s="66"/>
      <c r="L59" s="208"/>
    </row>
    <row r="60" spans="2:12" ht="18.75" customHeight="1" x14ac:dyDescent="0.25">
      <c r="B60" s="227" t="b">
        <v>0</v>
      </c>
      <c r="F60" s="95" t="s">
        <v>415</v>
      </c>
      <c r="G60" s="66"/>
      <c r="L60" s="208"/>
    </row>
    <row r="61" spans="2:12" ht="18.75" customHeight="1" x14ac:dyDescent="0.25">
      <c r="B61" s="227" t="b">
        <v>0</v>
      </c>
      <c r="F61" s="95" t="s">
        <v>416</v>
      </c>
      <c r="G61" s="66"/>
      <c r="L61" s="208"/>
    </row>
    <row r="62" spans="2:12" ht="18.75" customHeight="1" x14ac:dyDescent="0.25">
      <c r="B62" s="227" t="b">
        <v>0</v>
      </c>
      <c r="F62" s="95" t="s">
        <v>353</v>
      </c>
      <c r="G62" s="66"/>
      <c r="L62" s="208"/>
    </row>
    <row r="63" spans="2:12" ht="18.75" customHeight="1" x14ac:dyDescent="0.25">
      <c r="B63" s="227" t="b">
        <v>0</v>
      </c>
      <c r="F63" s="95" t="s">
        <v>417</v>
      </c>
      <c r="G63" s="66"/>
      <c r="L63" s="208"/>
    </row>
    <row r="64" spans="2:12" ht="18.75" customHeight="1" x14ac:dyDescent="0.25">
      <c r="B64" s="227" t="b">
        <v>0</v>
      </c>
      <c r="F64" s="95" t="s">
        <v>623</v>
      </c>
      <c r="G64" s="66"/>
      <c r="L64" s="208"/>
    </row>
    <row r="65" spans="2:12" x14ac:dyDescent="0.25"/>
    <row r="66" spans="2:12" x14ac:dyDescent="0.25">
      <c r="E66" s="201">
        <v>10</v>
      </c>
      <c r="F66" s="90" t="s">
        <v>624</v>
      </c>
    </row>
    <row r="67" spans="2:12" x14ac:dyDescent="0.25"/>
    <row r="68" spans="2:12" x14ac:dyDescent="0.25">
      <c r="F68" s="95" t="s">
        <v>418</v>
      </c>
      <c r="G68" s="95"/>
      <c r="H68" s="56"/>
    </row>
    <row r="69" spans="2:12" x14ac:dyDescent="0.25"/>
    <row r="70" spans="2:12" x14ac:dyDescent="0.25">
      <c r="E70" s="201">
        <v>11</v>
      </c>
      <c r="F70" s="384" t="s">
        <v>433</v>
      </c>
      <c r="G70" s="384"/>
      <c r="H70" s="384"/>
      <c r="I70" s="384"/>
      <c r="J70" s="384"/>
    </row>
    <row r="71" spans="2:12" ht="54" customHeight="1" x14ac:dyDescent="0.25">
      <c r="F71" s="385"/>
      <c r="G71" s="386"/>
      <c r="H71" s="386"/>
      <c r="I71" s="386"/>
      <c r="J71" s="387"/>
      <c r="L71" s="208"/>
    </row>
    <row r="72" spans="2:12" x14ac:dyDescent="0.25"/>
    <row r="73" spans="2:12" x14ac:dyDescent="0.25"/>
    <row r="74" spans="2:12" ht="21" x14ac:dyDescent="0.25">
      <c r="E74" s="203" t="s">
        <v>625</v>
      </c>
    </row>
    <row r="75" spans="2:12" x14ac:dyDescent="0.25">
      <c r="E75" s="219" t="s">
        <v>626</v>
      </c>
    </row>
    <row r="76" spans="2:12" x14ac:dyDescent="0.25"/>
    <row r="77" spans="2:12" ht="35.25" customHeight="1" x14ac:dyDescent="0.25">
      <c r="E77" s="201">
        <v>12</v>
      </c>
      <c r="F77" s="388" t="s">
        <v>587</v>
      </c>
      <c r="G77" s="388"/>
      <c r="H77" s="388"/>
      <c r="I77" s="388"/>
      <c r="J77" s="388"/>
      <c r="K77" s="218"/>
    </row>
    <row r="78" spans="2:12" x14ac:dyDescent="0.25">
      <c r="F78" s="218"/>
      <c r="G78" s="218"/>
      <c r="H78" s="218"/>
      <c r="I78" s="218"/>
      <c r="J78" s="218"/>
      <c r="K78" s="218"/>
    </row>
    <row r="79" spans="2:12" x14ac:dyDescent="0.25">
      <c r="F79" s="104"/>
      <c r="G79" s="223"/>
      <c r="H79" s="211" t="s">
        <v>579</v>
      </c>
      <c r="I79" s="211" t="s">
        <v>580</v>
      </c>
      <c r="J79" s="211" t="s">
        <v>581</v>
      </c>
      <c r="K79" s="213"/>
    </row>
    <row r="80" spans="2:12" x14ac:dyDescent="0.25">
      <c r="B80" s="226">
        <f>SUM(H80:J80)</f>
        <v>0</v>
      </c>
      <c r="C80" s="221" t="b">
        <f>B80=0</f>
        <v>1</v>
      </c>
      <c r="F80" s="104" t="s">
        <v>588</v>
      </c>
      <c r="G80" s="104"/>
      <c r="H80" s="226">
        <f t="array" ref="H80:H83">'4.1. Member 35y YTR'!$L$28:$L$31</f>
        <v>0</v>
      </c>
      <c r="I80" s="226">
        <f t="array" ref="I80:I83">'4.2. Member 20y YTR'!$L$28:$L$31</f>
        <v>0</v>
      </c>
      <c r="J80" s="226">
        <f t="array" ref="J80:J83">'4.3. Member 5y YTR'!$L$28:$L$31</f>
        <v>0</v>
      </c>
      <c r="K80" s="214"/>
    </row>
    <row r="81" spans="2:12" x14ac:dyDescent="0.25">
      <c r="B81" s="226">
        <f>SUM(H81:J81)</f>
        <v>0</v>
      </c>
      <c r="C81" s="221" t="b">
        <f>B81=0</f>
        <v>1</v>
      </c>
      <c r="F81" s="104" t="s">
        <v>589</v>
      </c>
      <c r="G81" s="104"/>
      <c r="H81" s="226">
        <v>0</v>
      </c>
      <c r="I81" s="226">
        <v>0</v>
      </c>
      <c r="J81" s="226">
        <v>0</v>
      </c>
      <c r="K81" s="212"/>
    </row>
    <row r="82" spans="2:12" x14ac:dyDescent="0.25">
      <c r="B82" s="226">
        <f>SUM(H82:J82)</f>
        <v>0</v>
      </c>
      <c r="C82" s="221" t="b">
        <f>B82=0</f>
        <v>1</v>
      </c>
      <c r="F82" s="104" t="s">
        <v>590</v>
      </c>
      <c r="G82" s="104"/>
      <c r="H82" s="226">
        <v>0</v>
      </c>
      <c r="I82" s="226">
        <v>0</v>
      </c>
      <c r="J82" s="226">
        <v>0</v>
      </c>
      <c r="K82" s="212"/>
    </row>
    <row r="83" spans="2:12" x14ac:dyDescent="0.25">
      <c r="B83" s="226">
        <f>SUM(H83:J83)</f>
        <v>0</v>
      </c>
      <c r="C83" s="221" t="b">
        <f>B83=0</f>
        <v>1</v>
      </c>
      <c r="F83" s="104" t="s">
        <v>591</v>
      </c>
      <c r="G83" s="104"/>
      <c r="H83" s="226">
        <v>0</v>
      </c>
      <c r="I83" s="226">
        <v>0</v>
      </c>
      <c r="J83" s="226">
        <v>0</v>
      </c>
      <c r="K83" s="212"/>
    </row>
    <row r="84" spans="2:12" x14ac:dyDescent="0.25"/>
    <row r="85" spans="2:12" x14ac:dyDescent="0.25">
      <c r="F85" s="403" t="s">
        <v>628</v>
      </c>
      <c r="G85" s="403"/>
      <c r="H85" s="403"/>
    </row>
    <row r="86" spans="2:12" x14ac:dyDescent="0.25"/>
    <row r="87" spans="2:12" ht="70.5" customHeight="1" x14ac:dyDescent="0.25">
      <c r="E87" s="201">
        <v>13</v>
      </c>
      <c r="F87" s="404" t="s">
        <v>627</v>
      </c>
      <c r="G87" s="404"/>
      <c r="H87" s="404"/>
      <c r="I87" s="404"/>
      <c r="J87" s="404"/>
      <c r="K87" s="220"/>
    </row>
    <row r="88" spans="2:12" x14ac:dyDescent="0.25">
      <c r="F88" s="402" t="s">
        <v>594</v>
      </c>
      <c r="G88" s="402"/>
      <c r="H88" s="402"/>
      <c r="I88" s="402"/>
      <c r="J88" s="402"/>
      <c r="K88" s="224"/>
    </row>
    <row r="89" spans="2:12" x14ac:dyDescent="0.25">
      <c r="F89" s="389"/>
      <c r="G89" s="390"/>
      <c r="H89" s="390"/>
      <c r="I89" s="390"/>
      <c r="J89" s="391"/>
      <c r="K89" s="224"/>
      <c r="L89" s="371"/>
    </row>
    <row r="90" spans="2:12" x14ac:dyDescent="0.25">
      <c r="F90" s="392"/>
      <c r="G90" s="393"/>
      <c r="H90" s="393"/>
      <c r="I90" s="393"/>
      <c r="J90" s="394"/>
      <c r="K90" s="224"/>
      <c r="L90" s="372"/>
    </row>
    <row r="91" spans="2:12" x14ac:dyDescent="0.25">
      <c r="F91" s="392"/>
      <c r="G91" s="393"/>
      <c r="H91" s="393"/>
      <c r="I91" s="393"/>
      <c r="J91" s="394"/>
      <c r="K91" s="224"/>
      <c r="L91" s="372"/>
    </row>
    <row r="92" spans="2:12" x14ac:dyDescent="0.25">
      <c r="F92" s="395"/>
      <c r="G92" s="396"/>
      <c r="H92" s="396"/>
      <c r="I92" s="396"/>
      <c r="J92" s="397"/>
      <c r="K92" s="224"/>
      <c r="L92" s="373"/>
    </row>
    <row r="93" spans="2:12" x14ac:dyDescent="0.25">
      <c r="F93" s="402" t="s">
        <v>629</v>
      </c>
      <c r="G93" s="402"/>
      <c r="H93" s="402"/>
      <c r="I93" s="402"/>
      <c r="J93" s="402"/>
      <c r="K93" s="224"/>
    </row>
    <row r="94" spans="2:12" x14ac:dyDescent="0.25">
      <c r="F94" s="389"/>
      <c r="G94" s="390"/>
      <c r="H94" s="390"/>
      <c r="I94" s="390"/>
      <c r="J94" s="391"/>
      <c r="K94" s="224"/>
      <c r="L94" s="371"/>
    </row>
    <row r="95" spans="2:12" x14ac:dyDescent="0.25">
      <c r="F95" s="392"/>
      <c r="G95" s="393"/>
      <c r="H95" s="393"/>
      <c r="I95" s="393"/>
      <c r="J95" s="394"/>
      <c r="K95" s="224"/>
      <c r="L95" s="372"/>
    </row>
    <row r="96" spans="2:12" x14ac:dyDescent="0.25">
      <c r="F96" s="392"/>
      <c r="G96" s="393"/>
      <c r="H96" s="393"/>
      <c r="I96" s="393"/>
      <c r="J96" s="394"/>
      <c r="K96" s="224"/>
      <c r="L96" s="372"/>
    </row>
    <row r="97" spans="6:12" x14ac:dyDescent="0.25">
      <c r="F97" s="395"/>
      <c r="G97" s="396"/>
      <c r="H97" s="396"/>
      <c r="I97" s="396"/>
      <c r="J97" s="397"/>
      <c r="K97" s="224"/>
      <c r="L97" s="373"/>
    </row>
    <row r="98" spans="6:12" x14ac:dyDescent="0.25">
      <c r="F98" s="224"/>
      <c r="G98" s="224"/>
      <c r="H98" s="224"/>
      <c r="I98" s="224"/>
      <c r="J98" s="224"/>
      <c r="K98" s="224"/>
    </row>
    <row r="99" spans="6:12" x14ac:dyDescent="0.25">
      <c r="F99" s="402" t="s">
        <v>595</v>
      </c>
      <c r="G99" s="402"/>
      <c r="H99" s="402"/>
      <c r="I99" s="402"/>
      <c r="J99" s="402"/>
      <c r="K99" s="224"/>
    </row>
    <row r="100" spans="6:12" x14ac:dyDescent="0.25">
      <c r="F100" s="389"/>
      <c r="G100" s="390"/>
      <c r="H100" s="390"/>
      <c r="I100" s="390"/>
      <c r="J100" s="391"/>
      <c r="K100" s="224"/>
      <c r="L100" s="371"/>
    </row>
    <row r="101" spans="6:12" x14ac:dyDescent="0.25">
      <c r="F101" s="392"/>
      <c r="G101" s="393"/>
      <c r="H101" s="393"/>
      <c r="I101" s="393"/>
      <c r="J101" s="394"/>
      <c r="K101" s="224"/>
      <c r="L101" s="372"/>
    </row>
    <row r="102" spans="6:12" x14ac:dyDescent="0.25">
      <c r="F102" s="392"/>
      <c r="G102" s="393"/>
      <c r="H102" s="393"/>
      <c r="I102" s="393"/>
      <c r="J102" s="394"/>
      <c r="K102" s="224"/>
      <c r="L102" s="372"/>
    </row>
    <row r="103" spans="6:12" x14ac:dyDescent="0.25">
      <c r="F103" s="395"/>
      <c r="G103" s="396"/>
      <c r="H103" s="396"/>
      <c r="I103" s="396"/>
      <c r="J103" s="397"/>
      <c r="K103" s="224"/>
      <c r="L103" s="373"/>
    </row>
    <row r="104" spans="6:12" x14ac:dyDescent="0.25">
      <c r="F104" s="402" t="s">
        <v>629</v>
      </c>
      <c r="G104" s="402"/>
      <c r="H104" s="402"/>
      <c r="I104" s="402"/>
      <c r="J104" s="402"/>
      <c r="K104" s="224"/>
    </row>
    <row r="105" spans="6:12" x14ac:dyDescent="0.25">
      <c r="F105" s="389"/>
      <c r="G105" s="390"/>
      <c r="H105" s="390"/>
      <c r="I105" s="390"/>
      <c r="J105" s="391"/>
      <c r="K105" s="224"/>
      <c r="L105" s="371"/>
    </row>
    <row r="106" spans="6:12" x14ac:dyDescent="0.25">
      <c r="F106" s="392"/>
      <c r="G106" s="393"/>
      <c r="H106" s="393"/>
      <c r="I106" s="393"/>
      <c r="J106" s="394"/>
      <c r="K106" s="224"/>
      <c r="L106" s="372"/>
    </row>
    <row r="107" spans="6:12" x14ac:dyDescent="0.25">
      <c r="F107" s="392"/>
      <c r="G107" s="393"/>
      <c r="H107" s="393"/>
      <c r="I107" s="393"/>
      <c r="J107" s="394"/>
      <c r="K107" s="224"/>
      <c r="L107" s="372"/>
    </row>
    <row r="108" spans="6:12" x14ac:dyDescent="0.25">
      <c r="F108" s="395"/>
      <c r="G108" s="396"/>
      <c r="H108" s="396"/>
      <c r="I108" s="396"/>
      <c r="J108" s="397"/>
      <c r="K108" s="224"/>
      <c r="L108" s="373"/>
    </row>
    <row r="109" spans="6:12" x14ac:dyDescent="0.25">
      <c r="F109" s="224"/>
      <c r="G109" s="224"/>
      <c r="H109" s="224"/>
      <c r="I109" s="224"/>
      <c r="J109" s="224"/>
      <c r="K109" s="224"/>
    </row>
    <row r="110" spans="6:12" x14ac:dyDescent="0.25">
      <c r="F110" s="402" t="s">
        <v>596</v>
      </c>
      <c r="G110" s="402"/>
      <c r="H110" s="402"/>
      <c r="I110" s="402"/>
      <c r="J110" s="402"/>
      <c r="K110" s="224"/>
    </row>
    <row r="111" spans="6:12" x14ac:dyDescent="0.25">
      <c r="F111" s="389"/>
      <c r="G111" s="390"/>
      <c r="H111" s="390"/>
      <c r="I111" s="390"/>
      <c r="J111" s="391"/>
      <c r="K111" s="224"/>
      <c r="L111" s="371"/>
    </row>
    <row r="112" spans="6:12" x14ac:dyDescent="0.25">
      <c r="F112" s="392"/>
      <c r="G112" s="393"/>
      <c r="H112" s="393"/>
      <c r="I112" s="393"/>
      <c r="J112" s="394"/>
      <c r="K112" s="224"/>
      <c r="L112" s="372"/>
    </row>
    <row r="113" spans="6:12" x14ac:dyDescent="0.25">
      <c r="F113" s="392"/>
      <c r="G113" s="393"/>
      <c r="H113" s="393"/>
      <c r="I113" s="393"/>
      <c r="J113" s="394"/>
      <c r="K113" s="224"/>
      <c r="L113" s="372"/>
    </row>
    <row r="114" spans="6:12" x14ac:dyDescent="0.25">
      <c r="F114" s="395"/>
      <c r="G114" s="396"/>
      <c r="H114" s="396"/>
      <c r="I114" s="396"/>
      <c r="J114" s="397"/>
      <c r="K114" s="224"/>
      <c r="L114" s="373"/>
    </row>
    <row r="115" spans="6:12" x14ac:dyDescent="0.25">
      <c r="F115" s="402" t="s">
        <v>629</v>
      </c>
      <c r="G115" s="402"/>
      <c r="H115" s="402"/>
      <c r="I115" s="402"/>
      <c r="J115" s="402"/>
      <c r="K115" s="224"/>
    </row>
    <row r="116" spans="6:12" x14ac:dyDescent="0.25">
      <c r="F116" s="389"/>
      <c r="G116" s="390"/>
      <c r="H116" s="390"/>
      <c r="I116" s="390"/>
      <c r="J116" s="391"/>
      <c r="K116" s="224"/>
      <c r="L116" s="371"/>
    </row>
    <row r="117" spans="6:12" x14ac:dyDescent="0.25">
      <c r="F117" s="392"/>
      <c r="G117" s="393"/>
      <c r="H117" s="393"/>
      <c r="I117" s="393"/>
      <c r="J117" s="394"/>
      <c r="K117" s="224"/>
      <c r="L117" s="372"/>
    </row>
    <row r="118" spans="6:12" x14ac:dyDescent="0.25">
      <c r="F118" s="392"/>
      <c r="G118" s="393"/>
      <c r="H118" s="393"/>
      <c r="I118" s="393"/>
      <c r="J118" s="394"/>
      <c r="K118" s="224"/>
      <c r="L118" s="372"/>
    </row>
    <row r="119" spans="6:12" x14ac:dyDescent="0.25">
      <c r="F119" s="395"/>
      <c r="G119" s="396"/>
      <c r="H119" s="396"/>
      <c r="I119" s="396"/>
      <c r="J119" s="397"/>
      <c r="K119" s="224"/>
      <c r="L119" s="373"/>
    </row>
    <row r="120" spans="6:12" x14ac:dyDescent="0.25">
      <c r="F120" s="224"/>
      <c r="G120" s="224"/>
      <c r="H120" s="224"/>
      <c r="I120" s="224"/>
      <c r="J120" s="224"/>
      <c r="K120" s="224"/>
    </row>
    <row r="121" spans="6:12" x14ac:dyDescent="0.25">
      <c r="F121" s="402" t="s">
        <v>597</v>
      </c>
      <c r="G121" s="402"/>
      <c r="H121" s="402"/>
      <c r="I121" s="402"/>
      <c r="J121" s="402"/>
      <c r="K121" s="224"/>
    </row>
    <row r="122" spans="6:12" x14ac:dyDescent="0.25">
      <c r="F122" s="389"/>
      <c r="G122" s="390"/>
      <c r="H122" s="390"/>
      <c r="I122" s="390"/>
      <c r="J122" s="391"/>
      <c r="K122" s="224"/>
      <c r="L122" s="371"/>
    </row>
    <row r="123" spans="6:12" x14ac:dyDescent="0.25">
      <c r="F123" s="392"/>
      <c r="G123" s="393"/>
      <c r="H123" s="393"/>
      <c r="I123" s="393"/>
      <c r="J123" s="394"/>
      <c r="K123" s="224"/>
      <c r="L123" s="372"/>
    </row>
    <row r="124" spans="6:12" x14ac:dyDescent="0.25">
      <c r="F124" s="392"/>
      <c r="G124" s="393"/>
      <c r="H124" s="393"/>
      <c r="I124" s="393"/>
      <c r="J124" s="394"/>
      <c r="K124" s="224"/>
      <c r="L124" s="372"/>
    </row>
    <row r="125" spans="6:12" x14ac:dyDescent="0.25">
      <c r="F125" s="395"/>
      <c r="G125" s="396"/>
      <c r="H125" s="396"/>
      <c r="I125" s="396"/>
      <c r="J125" s="397"/>
      <c r="K125" s="224"/>
      <c r="L125" s="373"/>
    </row>
    <row r="126" spans="6:12" x14ac:dyDescent="0.25">
      <c r="F126" s="402" t="s">
        <v>629</v>
      </c>
      <c r="G126" s="402"/>
      <c r="H126" s="402"/>
      <c r="I126" s="402"/>
      <c r="J126" s="402"/>
      <c r="K126" s="224"/>
    </row>
    <row r="127" spans="6:12" x14ac:dyDescent="0.25">
      <c r="F127" s="389"/>
      <c r="G127" s="390"/>
      <c r="H127" s="390"/>
      <c r="I127" s="390"/>
      <c r="J127" s="391"/>
      <c r="K127" s="224"/>
      <c r="L127" s="371"/>
    </row>
    <row r="128" spans="6:12" x14ac:dyDescent="0.25">
      <c r="F128" s="392"/>
      <c r="G128" s="393"/>
      <c r="H128" s="393"/>
      <c r="I128" s="393"/>
      <c r="J128" s="394"/>
      <c r="K128" s="224"/>
      <c r="L128" s="372"/>
    </row>
    <row r="129" spans="2:12" x14ac:dyDescent="0.25">
      <c r="F129" s="392"/>
      <c r="G129" s="393"/>
      <c r="H129" s="393"/>
      <c r="I129" s="393"/>
      <c r="J129" s="394"/>
      <c r="K129" s="224"/>
      <c r="L129" s="372"/>
    </row>
    <row r="130" spans="2:12" x14ac:dyDescent="0.25">
      <c r="F130" s="395"/>
      <c r="G130" s="396"/>
      <c r="H130" s="396"/>
      <c r="I130" s="396"/>
      <c r="J130" s="397"/>
      <c r="K130" s="224"/>
      <c r="L130" s="373"/>
    </row>
    <row r="131" spans="2:12" x14ac:dyDescent="0.25"/>
    <row r="132" spans="2:12" x14ac:dyDescent="0.25">
      <c r="E132" s="219" t="s">
        <v>630</v>
      </c>
    </row>
    <row r="133" spans="2:12" x14ac:dyDescent="0.25">
      <c r="E133" s="219"/>
    </row>
    <row r="134" spans="2:12" ht="34.5" customHeight="1" x14ac:dyDescent="0.25">
      <c r="E134" s="201">
        <v>14</v>
      </c>
      <c r="F134" s="388" t="s">
        <v>586</v>
      </c>
      <c r="G134" s="388"/>
      <c r="H134" s="388"/>
      <c r="I134" s="388"/>
      <c r="J134" s="388"/>
    </row>
    <row r="135" spans="2:12" x14ac:dyDescent="0.25"/>
    <row r="136" spans="2:12" x14ac:dyDescent="0.25">
      <c r="F136" s="210"/>
      <c r="G136" s="210"/>
      <c r="H136" s="210"/>
      <c r="I136" s="222" t="s">
        <v>582</v>
      </c>
    </row>
    <row r="137" spans="2:12" x14ac:dyDescent="0.25">
      <c r="B137" s="75" t="b">
        <f>I137="X"</f>
        <v>0</v>
      </c>
      <c r="F137" s="95" t="s">
        <v>579</v>
      </c>
      <c r="G137" s="95"/>
      <c r="H137" s="95"/>
      <c r="I137" s="215"/>
      <c r="L137" s="208"/>
    </row>
    <row r="138" spans="2:12" x14ac:dyDescent="0.25">
      <c r="B138" s="75" t="b">
        <f>I138="X"</f>
        <v>0</v>
      </c>
      <c r="F138" s="95" t="s">
        <v>580</v>
      </c>
      <c r="G138" s="95"/>
      <c r="H138" s="95"/>
      <c r="I138" s="215"/>
      <c r="L138" s="208"/>
    </row>
    <row r="139" spans="2:12" x14ac:dyDescent="0.25">
      <c r="B139" s="75" t="b">
        <f>I139="X"</f>
        <v>0</v>
      </c>
      <c r="F139" s="95" t="s">
        <v>581</v>
      </c>
      <c r="G139" s="95"/>
      <c r="H139" s="95"/>
      <c r="I139" s="215"/>
      <c r="L139" s="208"/>
    </row>
    <row r="140" spans="2:12" x14ac:dyDescent="0.25"/>
    <row r="141" spans="2:12" ht="53.25" customHeight="1" x14ac:dyDescent="0.25">
      <c r="E141" s="201">
        <v>15</v>
      </c>
      <c r="F141" s="388" t="s">
        <v>631</v>
      </c>
      <c r="G141" s="388"/>
      <c r="H141" s="388"/>
      <c r="I141" s="388" t="s">
        <v>582</v>
      </c>
    </row>
    <row r="142" spans="2:12" x14ac:dyDescent="0.25">
      <c r="F142" s="210"/>
      <c r="G142" s="210"/>
      <c r="H142" s="210"/>
      <c r="I142" s="222" t="s">
        <v>582</v>
      </c>
    </row>
    <row r="143" spans="2:12" x14ac:dyDescent="0.25">
      <c r="B143" s="75" t="b">
        <f>I143="X"</f>
        <v>0</v>
      </c>
      <c r="F143" s="210" t="s">
        <v>583</v>
      </c>
      <c r="G143" s="95"/>
      <c r="H143" s="95"/>
      <c r="I143" s="215"/>
      <c r="L143" s="208"/>
    </row>
    <row r="144" spans="2:12" x14ac:dyDescent="0.25">
      <c r="B144" s="75" t="b">
        <f>I144="X"</f>
        <v>0</v>
      </c>
      <c r="F144" s="95" t="s">
        <v>584</v>
      </c>
      <c r="G144" s="95"/>
      <c r="H144" s="95"/>
      <c r="I144" s="215"/>
      <c r="L144" s="208"/>
    </row>
    <row r="145" spans="2:12" x14ac:dyDescent="0.25">
      <c r="B145" s="75" t="b">
        <f>I145="X"</f>
        <v>0</v>
      </c>
      <c r="F145" s="95" t="s">
        <v>585</v>
      </c>
      <c r="G145" s="95"/>
      <c r="H145" s="95"/>
      <c r="I145" s="215"/>
      <c r="L145" s="208"/>
    </row>
    <row r="146" spans="2:12" x14ac:dyDescent="0.25"/>
    <row r="147" spans="2:12" ht="32.25" customHeight="1" x14ac:dyDescent="0.25">
      <c r="E147" s="201">
        <v>16</v>
      </c>
      <c r="F147" s="405" t="s">
        <v>633</v>
      </c>
      <c r="G147" s="405"/>
      <c r="H147" s="405"/>
      <c r="I147" s="405"/>
      <c r="J147" s="405"/>
    </row>
    <row r="148" spans="2:12" ht="15" customHeight="1" x14ac:dyDescent="0.25">
      <c r="F148" s="374" t="s">
        <v>632</v>
      </c>
      <c r="G148" s="374"/>
      <c r="H148" s="374"/>
      <c r="I148" s="374"/>
      <c r="J148" s="374"/>
    </row>
    <row r="149" spans="2:12" x14ac:dyDescent="0.25">
      <c r="F149" s="375"/>
      <c r="G149" s="376"/>
      <c r="H149" s="376"/>
      <c r="I149" s="376"/>
      <c r="J149" s="377"/>
      <c r="L149" s="371"/>
    </row>
    <row r="150" spans="2:12" x14ac:dyDescent="0.25">
      <c r="F150" s="378"/>
      <c r="G150" s="379"/>
      <c r="H150" s="379"/>
      <c r="I150" s="379"/>
      <c r="J150" s="380"/>
      <c r="L150" s="372"/>
    </row>
    <row r="151" spans="2:12" x14ac:dyDescent="0.25">
      <c r="F151" s="378"/>
      <c r="G151" s="379"/>
      <c r="H151" s="379"/>
      <c r="I151" s="379"/>
      <c r="J151" s="380"/>
      <c r="L151" s="372"/>
    </row>
    <row r="152" spans="2:12" x14ac:dyDescent="0.25">
      <c r="F152" s="378"/>
      <c r="G152" s="379"/>
      <c r="H152" s="379"/>
      <c r="I152" s="379"/>
      <c r="J152" s="380"/>
      <c r="L152" s="372"/>
    </row>
    <row r="153" spans="2:12" x14ac:dyDescent="0.25">
      <c r="F153" s="378"/>
      <c r="G153" s="379"/>
      <c r="H153" s="379"/>
      <c r="I153" s="379"/>
      <c r="J153" s="380"/>
      <c r="L153" s="372"/>
    </row>
    <row r="154" spans="2:12" x14ac:dyDescent="0.25">
      <c r="F154" s="378"/>
      <c r="G154" s="379"/>
      <c r="H154" s="379"/>
      <c r="I154" s="379"/>
      <c r="J154" s="380"/>
      <c r="L154" s="372"/>
    </row>
    <row r="155" spans="2:12" x14ac:dyDescent="0.25">
      <c r="F155" s="381"/>
      <c r="G155" s="382"/>
      <c r="H155" s="382"/>
      <c r="I155" s="382"/>
      <c r="J155" s="383"/>
      <c r="L155" s="373"/>
    </row>
    <row r="156" spans="2:12" x14ac:dyDescent="0.25"/>
    <row r="157" spans="2:12" hidden="1" x14ac:dyDescent="0.25">
      <c r="F157" s="224"/>
      <c r="G157" s="224"/>
      <c r="H157" s="224"/>
      <c r="I157" s="224"/>
      <c r="J157" s="224"/>
    </row>
    <row r="158" spans="2:12" hidden="1" x14ac:dyDescent="0.25">
      <c r="I158" s="224"/>
      <c r="J158" s="224"/>
    </row>
  </sheetData>
  <sheetProtection algorithmName="SHA-512" hashValue="qrMHjVBf2omzPSBQv5pvWqVmMqmTBSlJeBoobb261eOyZJIJRcIHXL8YApi4SkNBqTWDZlFVhALAj+yK710sHg==" saltValue="MSUemGLtfaEKU2TpNzDJZg==" spinCount="100000" sheet="1" objects="1" scenarios="1" selectLockedCells="1"/>
  <mergeCells count="42">
    <mergeCell ref="F10:J10"/>
    <mergeCell ref="F87:J87"/>
    <mergeCell ref="F147:J147"/>
    <mergeCell ref="F134:J134"/>
    <mergeCell ref="F77:J77"/>
    <mergeCell ref="F57:J57"/>
    <mergeCell ref="F33:J33"/>
    <mergeCell ref="F42:K42"/>
    <mergeCell ref="F88:J88"/>
    <mergeCell ref="F89:J92"/>
    <mergeCell ref="F93:J93"/>
    <mergeCell ref="F94:J97"/>
    <mergeCell ref="F99:J99"/>
    <mergeCell ref="F100:J103"/>
    <mergeCell ref="F111:J114"/>
    <mergeCell ref="F110:J110"/>
    <mergeCell ref="F18:J18"/>
    <mergeCell ref="F141:I141"/>
    <mergeCell ref="F127:J130"/>
    <mergeCell ref="F105:J108"/>
    <mergeCell ref="F55:J55"/>
    <mergeCell ref="F54:J54"/>
    <mergeCell ref="F115:J115"/>
    <mergeCell ref="F116:J119"/>
    <mergeCell ref="F121:J121"/>
    <mergeCell ref="F122:J125"/>
    <mergeCell ref="F126:J126"/>
    <mergeCell ref="F85:H85"/>
    <mergeCell ref="F104:J104"/>
    <mergeCell ref="L149:L155"/>
    <mergeCell ref="F148:J148"/>
    <mergeCell ref="F149:J155"/>
    <mergeCell ref="F70:J70"/>
    <mergeCell ref="F71:J71"/>
    <mergeCell ref="L105:L108"/>
    <mergeCell ref="L127:L130"/>
    <mergeCell ref="L111:L114"/>
    <mergeCell ref="L116:L119"/>
    <mergeCell ref="L122:L125"/>
    <mergeCell ref="L94:L97"/>
    <mergeCell ref="L89:L92"/>
    <mergeCell ref="L100:L103"/>
  </mergeCells>
  <conditionalFormatting sqref="K80:K83">
    <cfRule type="expression" dxfId="61" priority="31">
      <formula>NOT(OR(#REF!,#REF!))</formula>
    </cfRule>
  </conditionalFormatting>
  <conditionalFormatting sqref="F41:K42">
    <cfRule type="expression" dxfId="60" priority="30">
      <formula>($H$39 &lt;&gt; "Yes")</formula>
    </cfRule>
  </conditionalFormatting>
  <conditionalFormatting sqref="F79:J83">
    <cfRule type="expression" dxfId="59" priority="25">
      <formula>NOT(OR(#REF!))</formula>
    </cfRule>
  </conditionalFormatting>
  <conditionalFormatting sqref="E141:J155">
    <cfRule type="expression" dxfId="58" priority="22">
      <formula>NOT(OR($B$137:$B$139))</formula>
    </cfRule>
  </conditionalFormatting>
  <conditionalFormatting sqref="B80:B83">
    <cfRule type="expression" dxfId="57" priority="17">
      <formula>NOT(OR(#REF!))</formula>
    </cfRule>
  </conditionalFormatting>
  <conditionalFormatting sqref="E54:J55">
    <cfRule type="expression" dxfId="56" priority="4">
      <formula>NOT($B$52)</formula>
    </cfRule>
  </conditionalFormatting>
  <conditionalFormatting sqref="E70:J71">
    <cfRule type="expression" dxfId="55" priority="2">
      <formula>($H$68 &lt;&gt; "Yes")</formula>
    </cfRule>
  </conditionalFormatting>
  <conditionalFormatting sqref="E87:F87 K87">
    <cfRule type="expression" dxfId="54" priority="64">
      <formula>AND($C$80:$C$83)</formula>
    </cfRule>
  </conditionalFormatting>
  <conditionalFormatting sqref="F88:J97">
    <cfRule type="expression" dxfId="53" priority="65">
      <formula>$C$80</formula>
    </cfRule>
  </conditionalFormatting>
  <conditionalFormatting sqref="F85:H85">
    <cfRule type="expression" dxfId="52" priority="66">
      <formula>NOT(AND($C$80:$C$83))</formula>
    </cfRule>
  </conditionalFormatting>
  <conditionalFormatting sqref="F99:J108">
    <cfRule type="expression" dxfId="51" priority="67">
      <formula>$C$81</formula>
    </cfRule>
  </conditionalFormatting>
  <conditionalFormatting sqref="F110:J119">
    <cfRule type="expression" dxfId="50" priority="68">
      <formula>$C$82</formula>
    </cfRule>
  </conditionalFormatting>
  <conditionalFormatting sqref="F121:J130">
    <cfRule type="expression" dxfId="49" priority="69">
      <formula>$C$83</formula>
    </cfRule>
  </conditionalFormatting>
  <dataValidations count="6">
    <dataValidation type="list" allowBlank="1" showInputMessage="1" showErrorMessage="1" sqref="H39 H68">
      <formula1>"Yes, No"</formula1>
    </dataValidation>
    <dataValidation type="list" allowBlank="1" showInputMessage="1" showErrorMessage="1" sqref="H35">
      <formula1>"IORP, Other provider, Both possible"</formula1>
    </dataValidation>
    <dataValidation allowBlank="1" showInputMessage="1" showErrorMessage="1" promptTitle="Enter text" prompt="Enter text here. To start a new line, use Alt + Enter." sqref="F93:F94 G98:J98 F98:F100 F104:F105 F109:F111 G109:J109 F115:F116 G120:J120 F120:F122 F126:F127 F42:K42 F71 I157:J158 K80:K83 F157:H157 K88:K130 F87:F89 F85 F55"/>
    <dataValidation type="decimal" operator="greaterThanOrEqual" allowBlank="1" showInputMessage="1" showErrorMessage="1" errorTitle="Incorrect entry" error="Entry should be a non-negative number" sqref="H13:I15 H29:I29">
      <formula1>0</formula1>
    </dataValidation>
    <dataValidation type="decimal" operator="greaterThanOrEqual" allowBlank="1" showInputMessage="1" showErrorMessage="1" errorTitle="Incorrect entry" error="Entry should be a non-negative number." sqref="H21:I28">
      <formula1>0</formula1>
    </dataValidation>
    <dataValidation type="list" allowBlank="1" showErrorMessage="1" promptTitle="Enter text" prompt="Enter text here. To start a new line, use Alt + Enter." sqref="I143:I145 I137:I139">
      <formula1>"-,X"</formula1>
    </dataValidation>
  </dataValidations>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301101" r:id="rId4" name="Check Box 45">
              <controlPr locked="0" defaultSize="0" autoFill="0" autoLine="0" autoPict="0">
                <anchor moveWithCells="1">
                  <from>
                    <xdr:col>6</xdr:col>
                    <xdr:colOff>57150</xdr:colOff>
                    <xdr:row>58</xdr:row>
                    <xdr:rowOff>19050</xdr:rowOff>
                  </from>
                  <to>
                    <xdr:col>6</xdr:col>
                    <xdr:colOff>276225</xdr:colOff>
                    <xdr:row>58</xdr:row>
                    <xdr:rowOff>219075</xdr:rowOff>
                  </to>
                </anchor>
              </controlPr>
            </control>
          </mc:Choice>
        </mc:AlternateContent>
        <mc:AlternateContent xmlns:mc="http://schemas.openxmlformats.org/markup-compatibility/2006">
          <mc:Choice Requires="x14">
            <control shapeId="301102" r:id="rId5" name="Check Box 46">
              <controlPr locked="0" defaultSize="0" autoFill="0" autoLine="0" autoPict="0">
                <anchor moveWithCells="1">
                  <from>
                    <xdr:col>6</xdr:col>
                    <xdr:colOff>57150</xdr:colOff>
                    <xdr:row>59</xdr:row>
                    <xdr:rowOff>19050</xdr:rowOff>
                  </from>
                  <to>
                    <xdr:col>6</xdr:col>
                    <xdr:colOff>276225</xdr:colOff>
                    <xdr:row>59</xdr:row>
                    <xdr:rowOff>219075</xdr:rowOff>
                  </to>
                </anchor>
              </controlPr>
            </control>
          </mc:Choice>
        </mc:AlternateContent>
        <mc:AlternateContent xmlns:mc="http://schemas.openxmlformats.org/markup-compatibility/2006">
          <mc:Choice Requires="x14">
            <control shapeId="301103" r:id="rId6" name="Check Box 47">
              <controlPr locked="0" defaultSize="0" autoFill="0" autoLine="0" autoPict="0">
                <anchor moveWithCells="1">
                  <from>
                    <xdr:col>6</xdr:col>
                    <xdr:colOff>57150</xdr:colOff>
                    <xdr:row>60</xdr:row>
                    <xdr:rowOff>19050</xdr:rowOff>
                  </from>
                  <to>
                    <xdr:col>6</xdr:col>
                    <xdr:colOff>276225</xdr:colOff>
                    <xdr:row>60</xdr:row>
                    <xdr:rowOff>219075</xdr:rowOff>
                  </to>
                </anchor>
              </controlPr>
            </control>
          </mc:Choice>
        </mc:AlternateContent>
        <mc:AlternateContent xmlns:mc="http://schemas.openxmlformats.org/markup-compatibility/2006">
          <mc:Choice Requires="x14">
            <control shapeId="301104" r:id="rId7" name="Check Box 48">
              <controlPr locked="0" defaultSize="0" autoFill="0" autoLine="0" autoPict="0">
                <anchor moveWithCells="1">
                  <from>
                    <xdr:col>6</xdr:col>
                    <xdr:colOff>57150</xdr:colOff>
                    <xdr:row>61</xdr:row>
                    <xdr:rowOff>19050</xdr:rowOff>
                  </from>
                  <to>
                    <xdr:col>6</xdr:col>
                    <xdr:colOff>276225</xdr:colOff>
                    <xdr:row>61</xdr:row>
                    <xdr:rowOff>219075</xdr:rowOff>
                  </to>
                </anchor>
              </controlPr>
            </control>
          </mc:Choice>
        </mc:AlternateContent>
        <mc:AlternateContent xmlns:mc="http://schemas.openxmlformats.org/markup-compatibility/2006">
          <mc:Choice Requires="x14">
            <control shapeId="301105" r:id="rId8" name="Check Box 49">
              <controlPr locked="0" defaultSize="0" autoFill="0" autoLine="0" autoPict="0">
                <anchor moveWithCells="1">
                  <from>
                    <xdr:col>6</xdr:col>
                    <xdr:colOff>57150</xdr:colOff>
                    <xdr:row>62</xdr:row>
                    <xdr:rowOff>19050</xdr:rowOff>
                  </from>
                  <to>
                    <xdr:col>6</xdr:col>
                    <xdr:colOff>276225</xdr:colOff>
                    <xdr:row>62</xdr:row>
                    <xdr:rowOff>219075</xdr:rowOff>
                  </to>
                </anchor>
              </controlPr>
            </control>
          </mc:Choice>
        </mc:AlternateContent>
        <mc:AlternateContent xmlns:mc="http://schemas.openxmlformats.org/markup-compatibility/2006">
          <mc:Choice Requires="x14">
            <control shapeId="301108" r:id="rId9" name="Check Box 52">
              <controlPr locked="0" defaultSize="0" autoFill="0" autoLine="0" autoPict="0">
                <anchor moveWithCells="1">
                  <from>
                    <xdr:col>6</xdr:col>
                    <xdr:colOff>57150</xdr:colOff>
                    <xdr:row>45</xdr:row>
                    <xdr:rowOff>19050</xdr:rowOff>
                  </from>
                  <to>
                    <xdr:col>6</xdr:col>
                    <xdr:colOff>276225</xdr:colOff>
                    <xdr:row>45</xdr:row>
                    <xdr:rowOff>219075</xdr:rowOff>
                  </to>
                </anchor>
              </controlPr>
            </control>
          </mc:Choice>
        </mc:AlternateContent>
        <mc:AlternateContent xmlns:mc="http://schemas.openxmlformats.org/markup-compatibility/2006">
          <mc:Choice Requires="x14">
            <control shapeId="301109" r:id="rId10" name="Check Box 53">
              <controlPr locked="0" defaultSize="0" autoFill="0" autoLine="0" autoPict="0">
                <anchor moveWithCells="1">
                  <from>
                    <xdr:col>6</xdr:col>
                    <xdr:colOff>57150</xdr:colOff>
                    <xdr:row>46</xdr:row>
                    <xdr:rowOff>19050</xdr:rowOff>
                  </from>
                  <to>
                    <xdr:col>6</xdr:col>
                    <xdr:colOff>276225</xdr:colOff>
                    <xdr:row>46</xdr:row>
                    <xdr:rowOff>219075</xdr:rowOff>
                  </to>
                </anchor>
              </controlPr>
            </control>
          </mc:Choice>
        </mc:AlternateContent>
        <mc:AlternateContent xmlns:mc="http://schemas.openxmlformats.org/markup-compatibility/2006">
          <mc:Choice Requires="x14">
            <control shapeId="301110" r:id="rId11" name="Check Box 54">
              <controlPr locked="0" defaultSize="0" autoFill="0" autoLine="0" autoPict="0">
                <anchor moveWithCells="1">
                  <from>
                    <xdr:col>6</xdr:col>
                    <xdr:colOff>57150</xdr:colOff>
                    <xdr:row>47</xdr:row>
                    <xdr:rowOff>19050</xdr:rowOff>
                  </from>
                  <to>
                    <xdr:col>6</xdr:col>
                    <xdr:colOff>276225</xdr:colOff>
                    <xdr:row>47</xdr:row>
                    <xdr:rowOff>219075</xdr:rowOff>
                  </to>
                </anchor>
              </controlPr>
            </control>
          </mc:Choice>
        </mc:AlternateContent>
        <mc:AlternateContent xmlns:mc="http://schemas.openxmlformats.org/markup-compatibility/2006">
          <mc:Choice Requires="x14">
            <control shapeId="301111" r:id="rId12" name="Check Box 55">
              <controlPr locked="0" defaultSize="0" autoFill="0" autoLine="0" autoPict="0">
                <anchor moveWithCells="1">
                  <from>
                    <xdr:col>6</xdr:col>
                    <xdr:colOff>57150</xdr:colOff>
                    <xdr:row>48</xdr:row>
                    <xdr:rowOff>19050</xdr:rowOff>
                  </from>
                  <to>
                    <xdr:col>6</xdr:col>
                    <xdr:colOff>276225</xdr:colOff>
                    <xdr:row>48</xdr:row>
                    <xdr:rowOff>219075</xdr:rowOff>
                  </to>
                </anchor>
              </controlPr>
            </control>
          </mc:Choice>
        </mc:AlternateContent>
        <mc:AlternateContent xmlns:mc="http://schemas.openxmlformats.org/markup-compatibility/2006">
          <mc:Choice Requires="x14">
            <control shapeId="301112" r:id="rId13" name="Check Box 56">
              <controlPr locked="0" defaultSize="0" autoFill="0" autoLine="0" autoPict="0">
                <anchor moveWithCells="1">
                  <from>
                    <xdr:col>6</xdr:col>
                    <xdr:colOff>57150</xdr:colOff>
                    <xdr:row>49</xdr:row>
                    <xdr:rowOff>19050</xdr:rowOff>
                  </from>
                  <to>
                    <xdr:col>6</xdr:col>
                    <xdr:colOff>276225</xdr:colOff>
                    <xdr:row>49</xdr:row>
                    <xdr:rowOff>219075</xdr:rowOff>
                  </to>
                </anchor>
              </controlPr>
            </control>
          </mc:Choice>
        </mc:AlternateContent>
        <mc:AlternateContent xmlns:mc="http://schemas.openxmlformats.org/markup-compatibility/2006">
          <mc:Choice Requires="x14">
            <control shapeId="301113" r:id="rId14" name="Check Box 57">
              <controlPr locked="0" defaultSize="0" autoFill="0" autoLine="0" autoPict="0">
                <anchor moveWithCells="1">
                  <from>
                    <xdr:col>6</xdr:col>
                    <xdr:colOff>57150</xdr:colOff>
                    <xdr:row>50</xdr:row>
                    <xdr:rowOff>19050</xdr:rowOff>
                  </from>
                  <to>
                    <xdr:col>6</xdr:col>
                    <xdr:colOff>276225</xdr:colOff>
                    <xdr:row>50</xdr:row>
                    <xdr:rowOff>219075</xdr:rowOff>
                  </to>
                </anchor>
              </controlPr>
            </control>
          </mc:Choice>
        </mc:AlternateContent>
        <mc:AlternateContent xmlns:mc="http://schemas.openxmlformats.org/markup-compatibility/2006">
          <mc:Choice Requires="x14">
            <control shapeId="301114" r:id="rId15" name="Check Box 58">
              <controlPr locked="0" defaultSize="0" autoFill="0" autoLine="0" autoPict="0">
                <anchor moveWithCells="1">
                  <from>
                    <xdr:col>6</xdr:col>
                    <xdr:colOff>57150</xdr:colOff>
                    <xdr:row>51</xdr:row>
                    <xdr:rowOff>19050</xdr:rowOff>
                  </from>
                  <to>
                    <xdr:col>6</xdr:col>
                    <xdr:colOff>276225</xdr:colOff>
                    <xdr:row>51</xdr:row>
                    <xdr:rowOff>219075</xdr:rowOff>
                  </to>
                </anchor>
              </controlPr>
            </control>
          </mc:Choice>
        </mc:AlternateContent>
        <mc:AlternateContent xmlns:mc="http://schemas.openxmlformats.org/markup-compatibility/2006">
          <mc:Choice Requires="x14">
            <control shapeId="301115" r:id="rId16" name="Check Box 59">
              <controlPr locked="0" defaultSize="0" autoFill="0" autoLine="0" autoPict="0">
                <anchor moveWithCells="1">
                  <from>
                    <xdr:col>6</xdr:col>
                    <xdr:colOff>57150</xdr:colOff>
                    <xdr:row>63</xdr:row>
                    <xdr:rowOff>19050</xdr:rowOff>
                  </from>
                  <to>
                    <xdr:col>6</xdr:col>
                    <xdr:colOff>276225</xdr:colOff>
                    <xdr:row>63</xdr:row>
                    <xdr:rowOff>219075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iconSet" priority="47" id="{D40682FB-18BC-483D-B7A3-B31D9875F347}">
            <x14:iconSet iconSet="3Symbols2" showValue="0" custom="1">
              <x14:cfvo type="percent">
                <xm:f>0</xm:f>
              </x14:cfvo>
              <x14:cfvo type="num">
                <xm:f>1</xm:f>
              </x14:cfvo>
              <x14:cfvo type="num">
                <xm:f>1</xm:f>
              </x14:cfvo>
              <x14:cfIcon iconSet="3Symbols2" iconId="0"/>
              <x14:cfIcon iconSet="NoIcons" iconId="0"/>
              <x14:cfIcon iconSet="3Symbols2" iconId="2"/>
            </x14:iconSet>
          </x14:cfRule>
          <xm:sqref>F13:G13</xm:sqref>
        </x14:conditionalFormatting>
      </x14:conditionalFormatting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tabColor rgb="FFFFFF00"/>
  </sheetPr>
  <dimension ref="A1:M38"/>
  <sheetViews>
    <sheetView topLeftCell="C1" zoomScaleNormal="100" workbookViewId="0"/>
  </sheetViews>
  <sheetFormatPr defaultColWidth="0" defaultRowHeight="15" zeroHeight="1" outlineLevelRow="1" x14ac:dyDescent="0.25"/>
  <cols>
    <col min="1" max="1" width="13.140625" style="19" hidden="1" customWidth="1"/>
    <col min="2" max="2" width="20.28515625" style="19" hidden="1" customWidth="1"/>
    <col min="3" max="3" width="7.140625" style="3" customWidth="1"/>
    <col min="4" max="4" width="9" style="3" customWidth="1"/>
    <col min="5" max="13" width="9.140625" style="3" customWidth="1"/>
    <col min="14" max="16384" width="9.140625" style="3" hidden="1"/>
  </cols>
  <sheetData>
    <row r="1" spans="1:11" x14ac:dyDescent="0.25">
      <c r="A1" s="19" t="s">
        <v>71</v>
      </c>
      <c r="B1" s="19" t="s">
        <v>396</v>
      </c>
    </row>
    <row r="2" spans="1:11" x14ac:dyDescent="0.25">
      <c r="A2" s="19" t="s">
        <v>73</v>
      </c>
      <c r="B2" s="19">
        <v>1.1000000000000001</v>
      </c>
    </row>
    <row r="3" spans="1:11" ht="26.25" x14ac:dyDescent="0.4">
      <c r="A3" s="19" t="s">
        <v>89</v>
      </c>
      <c r="B3" s="19">
        <v>1</v>
      </c>
      <c r="G3" s="6" t="s">
        <v>394</v>
      </c>
    </row>
    <row r="4" spans="1:11" x14ac:dyDescent="0.25">
      <c r="A4" s="19" t="s">
        <v>90</v>
      </c>
      <c r="B4" s="19">
        <v>3</v>
      </c>
    </row>
    <row r="5" spans="1:11" x14ac:dyDescent="0.25">
      <c r="A5" s="19" t="s">
        <v>91</v>
      </c>
      <c r="B5" s="19">
        <v>38</v>
      </c>
    </row>
    <row r="6" spans="1:11" x14ac:dyDescent="0.25">
      <c r="A6" s="19" t="s">
        <v>92</v>
      </c>
      <c r="B6" s="19">
        <v>13</v>
      </c>
    </row>
    <row r="7" spans="1:11" x14ac:dyDescent="0.25">
      <c r="A7" s="19" t="s">
        <v>94</v>
      </c>
      <c r="B7" s="19" t="b">
        <f>NOT(IsCalculationTool)</f>
        <v>1</v>
      </c>
    </row>
    <row r="8" spans="1:11" x14ac:dyDescent="0.25">
      <c r="A8" s="19" t="s">
        <v>96</v>
      </c>
      <c r="B8" s="19" t="b">
        <v>1</v>
      </c>
    </row>
    <row r="9" spans="1:11" x14ac:dyDescent="0.25">
      <c r="A9" s="19" t="s">
        <v>434</v>
      </c>
      <c r="B9" s="42" t="b">
        <v>0</v>
      </c>
    </row>
    <row r="10" spans="1:11" ht="21" x14ac:dyDescent="0.35">
      <c r="D10" s="15" t="s">
        <v>139</v>
      </c>
    </row>
    <row r="11" spans="1:11" x14ac:dyDescent="0.25"/>
    <row r="12" spans="1:11" x14ac:dyDescent="0.25"/>
    <row r="13" spans="1:11" x14ac:dyDescent="0.25"/>
    <row r="14" spans="1:11" x14ac:dyDescent="0.25"/>
    <row r="15" spans="1:11" x14ac:dyDescent="0.25">
      <c r="A15" s="19" t="s">
        <v>146</v>
      </c>
      <c r="B15" s="19" t="b">
        <f ca="1">AND(D18,D20:D22)</f>
        <v>0</v>
      </c>
    </row>
    <row r="16" spans="1:11" ht="21" x14ac:dyDescent="0.35">
      <c r="D16" s="38">
        <f ca="1">$B$15*1</f>
        <v>0</v>
      </c>
      <c r="E16" s="339" t="str">
        <f ca="1">IF(B15, "No validation issues for input data found!","Validation errors found in some input data! ")</f>
        <v xml:space="preserve">Validation errors found in some input data! </v>
      </c>
      <c r="F16" s="339"/>
      <c r="G16" s="339"/>
      <c r="H16" s="339"/>
      <c r="I16" s="339"/>
      <c r="J16" s="339"/>
      <c r="K16" s="339"/>
    </row>
    <row r="17" spans="4:6" outlineLevel="1" x14ac:dyDescent="0.25"/>
    <row r="18" spans="4:6" outlineLevel="1" x14ac:dyDescent="0.25">
      <c r="D18" s="38">
        <f>'2. Participating IORP'!$B$21*1</f>
        <v>0</v>
      </c>
      <c r="E18" s="44" t="s">
        <v>101</v>
      </c>
    </row>
    <row r="19" spans="4:6" outlineLevel="1" x14ac:dyDescent="0.25"/>
    <row r="20" spans="4:6" outlineLevel="1" x14ac:dyDescent="0.25">
      <c r="D20" s="38">
        <f ca="1">'4.1. Member 35y YTR'!ValidateTotal*1</f>
        <v>1</v>
      </c>
      <c r="E20" s="44" t="s">
        <v>128</v>
      </c>
      <c r="F20" s="44"/>
    </row>
    <row r="21" spans="4:6" outlineLevel="1" x14ac:dyDescent="0.25">
      <c r="D21" s="38">
        <f ca="1">'4.2. Member 20y YTR'!ValidateTotal*1</f>
        <v>1</v>
      </c>
      <c r="E21" s="44" t="s">
        <v>129</v>
      </c>
      <c r="F21" s="44"/>
    </row>
    <row r="22" spans="4:6" outlineLevel="1" x14ac:dyDescent="0.25">
      <c r="D22" s="38">
        <f ca="1">'4.3. Member 5y YTR'!ValidateTotal*1</f>
        <v>1</v>
      </c>
      <c r="E22" s="44" t="s">
        <v>130</v>
      </c>
      <c r="F22" s="44"/>
    </row>
    <row r="23" spans="4:6" outlineLevel="1" x14ac:dyDescent="0.25"/>
    <row r="24" spans="4:6" x14ac:dyDescent="0.25"/>
    <row r="25" spans="4:6" ht="21" x14ac:dyDescent="0.35">
      <c r="D25" s="15" t="s">
        <v>635</v>
      </c>
    </row>
    <row r="26" spans="4:6" x14ac:dyDescent="0.25"/>
    <row r="27" spans="4:6" x14ac:dyDescent="0.25"/>
    <row r="28" spans="4:6" x14ac:dyDescent="0.25"/>
    <row r="29" spans="4:6" x14ac:dyDescent="0.25"/>
    <row r="30" spans="4:6" x14ac:dyDescent="0.25"/>
    <row r="31" spans="4:6" ht="21" x14ac:dyDescent="0.35">
      <c r="D31" s="15" t="s">
        <v>599</v>
      </c>
    </row>
    <row r="32" spans="4:6" x14ac:dyDescent="0.25"/>
    <row r="33" spans="4:4" x14ac:dyDescent="0.25"/>
    <row r="34" spans="4:4" x14ac:dyDescent="0.25"/>
    <row r="35" spans="4:4" x14ac:dyDescent="0.25"/>
    <row r="36" spans="4:4" ht="21" x14ac:dyDescent="0.35">
      <c r="D36" s="15" t="s">
        <v>395</v>
      </c>
    </row>
    <row r="37" spans="4:4" x14ac:dyDescent="0.25"/>
    <row r="38" spans="4:4" x14ac:dyDescent="0.25"/>
  </sheetData>
  <sheetProtection algorithmName="SHA-512" hashValue="alehkcfZhjDxBNM37SNTqAaduJrrS0lMRKCFBPVkAcbOe75G/e3BqV+q10YVQX8gxkjJvXtuaHU4D+/S1/3W+A==" saltValue="qu+HqXk96s61tMOehRd42g==" spinCount="100000" sheet="1" objects="1" scenarios="1"/>
  <mergeCells count="1">
    <mergeCell ref="E16:K16"/>
  </mergeCells>
  <conditionalFormatting sqref="E16">
    <cfRule type="expression" dxfId="48" priority="4">
      <formula>NOT($B$15)</formula>
    </cfRule>
  </conditionalFormatting>
  <pageMargins left="0.7" right="0.7" top="0.75" bottom="0.75" header="0.3" footer="0.3"/>
  <pageSetup paperSize="9" orientation="portrait" verticalDpi="0" r:id="rId1"/>
  <drawing r:id="rId2"/>
  <legacyDrawing r:id="rId3"/>
  <controls>
    <mc:AlternateContent xmlns:mc="http://schemas.openxmlformats.org/markup-compatibility/2006">
      <mc:Choice Requires="x14">
        <control shapeId="305153" r:id="rId4" name="cbSaveInputTemplate">
          <controlPr defaultSize="0" autoLine="0" r:id="rId5">
            <anchor moveWithCells="1">
              <from>
                <xdr:col>3</xdr:col>
                <xdr:colOff>114300</xdr:colOff>
                <xdr:row>27</xdr:row>
                <xdr:rowOff>28575</xdr:rowOff>
              </from>
              <to>
                <xdr:col>5</xdr:col>
                <xdr:colOff>266700</xdr:colOff>
                <xdr:row>29</xdr:row>
                <xdr:rowOff>76200</xdr:rowOff>
              </to>
            </anchor>
          </controlPr>
        </control>
      </mc:Choice>
      <mc:Fallback>
        <control shapeId="305153" r:id="rId4" name="cbSaveInputTemplate"/>
      </mc:Fallback>
    </mc:AlternateContent>
  </controls>
  <extLst>
    <ext xmlns:x14="http://schemas.microsoft.com/office/spreadsheetml/2009/9/main" uri="{78C0D931-6437-407d-A8EE-F0AAD7539E65}">
      <x14:conditionalFormattings>
        <x14:conditionalFormatting xmlns:xm="http://schemas.microsoft.com/office/excel/2006/main">
          <x14:cfRule type="iconSet" priority="3" id="{160E6FCC-FD85-47C2-9C8D-1932D7A25331}">
            <x14:iconSet iconSet="3Symbols2" showValue="0" custom="1">
              <x14:cfvo type="percent">
                <xm:f>0</xm:f>
              </x14:cfvo>
              <x14:cfvo type="num">
                <xm:f>1</xm:f>
              </x14:cfvo>
              <x14:cfvo type="num">
                <xm:f>1</xm:f>
              </x14:cfvo>
              <x14:cfIcon iconSet="3Symbols2" iconId="0"/>
              <x14:cfIcon iconSet="NoIcons" iconId="0"/>
              <x14:cfIcon iconSet="3Symbols2" iconId="2"/>
            </x14:iconSet>
          </x14:cfRule>
          <xm:sqref>D16</xm:sqref>
        </x14:conditionalFormatting>
        <x14:conditionalFormatting xmlns:xm="http://schemas.microsoft.com/office/excel/2006/main">
          <x14:cfRule type="iconSet" priority="2" id="{464A9578-1A47-4D79-9C2A-ECDA70E54732}">
            <x14:iconSet iconSet="3Symbols2" showValue="0" custom="1">
              <x14:cfvo type="percent">
                <xm:f>0</xm:f>
              </x14:cfvo>
              <x14:cfvo type="percent">
                <xm:f>1</xm:f>
              </x14:cfvo>
              <x14:cfvo type="num">
                <xm:f>1</xm:f>
              </x14:cfvo>
              <x14:cfIcon iconSet="3Symbols2" iconId="0"/>
              <x14:cfIcon iconSet="NoIcons" iconId="0"/>
              <x14:cfIcon iconSet="3Symbols2" iconId="2"/>
            </x14:iconSet>
          </x14:cfRule>
          <xm:sqref>D20:D22</xm:sqref>
        </x14:conditionalFormatting>
        <x14:conditionalFormatting xmlns:xm="http://schemas.microsoft.com/office/excel/2006/main">
          <x14:cfRule type="iconSet" priority="1" id="{3D4882A0-02C0-4B8D-BFFC-3EDBCEF8E3FB}">
            <x14:iconSet iconSet="3Symbols2" showValue="0" custom="1">
              <x14:cfvo type="percent">
                <xm:f>0</xm:f>
              </x14:cfvo>
              <x14:cfvo type="num">
                <xm:f>1</xm:f>
              </x14:cfvo>
              <x14:cfvo type="num">
                <xm:f>1</xm:f>
              </x14:cfvo>
              <x14:cfIcon iconSet="3Symbols2" iconId="0"/>
              <x14:cfIcon iconSet="NoIcons" iconId="0"/>
              <x14:cfIcon iconSet="3Symbols2" iconId="2"/>
            </x14:iconSet>
          </x14:cfRule>
          <xm:sqref>D18</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imulationOutcomeTablesSheet"/>
  <dimension ref="A1:AT31"/>
  <sheetViews>
    <sheetView zoomScaleNormal="100" workbookViewId="0">
      <selection activeCell="F5" sqref="F5"/>
    </sheetView>
  </sheetViews>
  <sheetFormatPr defaultRowHeight="15" x14ac:dyDescent="0.25"/>
  <cols>
    <col min="1" max="1" width="15.140625" style="19" customWidth="1"/>
    <col min="2" max="2" width="27.140625" style="19" customWidth="1"/>
    <col min="3" max="3" width="9.140625" customWidth="1"/>
    <col min="4" max="4" width="14.7109375" customWidth="1"/>
    <col min="5" max="5" width="36.42578125" customWidth="1"/>
    <col min="6" max="8" width="17.42578125" style="3" customWidth="1"/>
    <col min="9" max="9" width="19.7109375" style="3" customWidth="1"/>
    <col min="10" max="10" width="24.140625" style="3" customWidth="1"/>
    <col min="11" max="11" width="23.7109375" style="3" customWidth="1"/>
    <col min="12" max="12" width="17.42578125" style="3" customWidth="1"/>
    <col min="13" max="13" width="21.85546875" style="3" customWidth="1"/>
    <col min="14" max="14" width="21.42578125" style="3" customWidth="1"/>
    <col min="15" max="17" width="17.42578125" style="3" customWidth="1"/>
    <col min="18" max="18" width="19" customWidth="1"/>
    <col min="19" max="19" width="19.7109375" customWidth="1"/>
    <col min="20" max="20" width="19.28515625" customWidth="1"/>
    <col min="21" max="21" width="24.140625" customWidth="1"/>
    <col min="23" max="46" width="9.140625" style="3"/>
  </cols>
  <sheetData>
    <row r="1" spans="1:46" x14ac:dyDescent="0.25">
      <c r="A1" s="19" t="s">
        <v>71</v>
      </c>
      <c r="B1" s="19" t="s">
        <v>524</v>
      </c>
      <c r="D1" s="2"/>
    </row>
    <row r="2" spans="1:46" ht="26.25" x14ac:dyDescent="0.4">
      <c r="A2" s="19" t="s">
        <v>73</v>
      </c>
      <c r="B2" s="19">
        <v>1.1000000000000001</v>
      </c>
      <c r="D2" s="6" t="s">
        <v>14</v>
      </c>
    </row>
    <row r="3" spans="1:46" x14ac:dyDescent="0.25">
      <c r="A3" s="19" t="s">
        <v>89</v>
      </c>
      <c r="B3" s="19">
        <v>1</v>
      </c>
      <c r="D3" s="2"/>
    </row>
    <row r="4" spans="1:46" x14ac:dyDescent="0.25">
      <c r="A4" s="19" t="s">
        <v>90</v>
      </c>
      <c r="B4" s="19">
        <v>1</v>
      </c>
      <c r="D4" s="7"/>
      <c r="E4" s="7"/>
      <c r="F4" s="7"/>
      <c r="G4" s="7"/>
      <c r="H4" s="7"/>
      <c r="I4" s="7"/>
      <c r="J4" s="7"/>
      <c r="K4" s="7"/>
      <c r="L4" s="7"/>
      <c r="M4" s="7"/>
      <c r="N4" s="7"/>
      <c r="O4" s="7"/>
      <c r="P4" s="7"/>
      <c r="Q4" s="7"/>
      <c r="R4" s="7"/>
      <c r="S4" s="7"/>
      <c r="T4" s="7"/>
      <c r="U4" s="7"/>
    </row>
    <row r="5" spans="1:46" x14ac:dyDescent="0.25">
      <c r="A5" s="19" t="s">
        <v>91</v>
      </c>
      <c r="B5" s="19">
        <v>0</v>
      </c>
      <c r="D5" s="52" t="s">
        <v>278</v>
      </c>
      <c r="E5" s="53" t="s">
        <v>111</v>
      </c>
      <c r="F5" s="53" t="s">
        <v>279</v>
      </c>
      <c r="G5" s="53" t="s">
        <v>280</v>
      </c>
      <c r="H5" s="53" t="s">
        <v>400</v>
      </c>
      <c r="I5" s="53" t="s">
        <v>281</v>
      </c>
      <c r="J5" s="53" t="s">
        <v>282</v>
      </c>
      <c r="K5" s="53" t="s">
        <v>283</v>
      </c>
      <c r="L5" s="53" t="s">
        <v>284</v>
      </c>
      <c r="M5" s="53" t="s">
        <v>285</v>
      </c>
      <c r="N5" s="53" t="s">
        <v>286</v>
      </c>
      <c r="O5" s="53" t="s">
        <v>287</v>
      </c>
      <c r="P5" s="53" t="s">
        <v>288</v>
      </c>
      <c r="Q5" s="53" t="s">
        <v>289</v>
      </c>
      <c r="R5" s="53" t="s">
        <v>290</v>
      </c>
      <c r="S5" s="53" t="s">
        <v>291</v>
      </c>
      <c r="T5" s="53" t="s">
        <v>292</v>
      </c>
      <c r="U5" s="53" t="s">
        <v>293</v>
      </c>
      <c r="V5" s="53" t="s">
        <v>294</v>
      </c>
      <c r="W5" s="53" t="s">
        <v>303</v>
      </c>
      <c r="X5" s="53" t="s">
        <v>304</v>
      </c>
      <c r="Y5" s="53" t="s">
        <v>305</v>
      </c>
      <c r="Z5" s="53" t="s">
        <v>306</v>
      </c>
      <c r="AA5" s="53" t="s">
        <v>307</v>
      </c>
      <c r="AB5" s="53" t="s">
        <v>308</v>
      </c>
      <c r="AC5" s="53" t="s">
        <v>309</v>
      </c>
      <c r="AD5" s="53" t="s">
        <v>310</v>
      </c>
      <c r="AE5" s="53" t="s">
        <v>295</v>
      </c>
      <c r="AF5" s="53" t="s">
        <v>296</v>
      </c>
      <c r="AG5" s="53" t="s">
        <v>297</v>
      </c>
      <c r="AH5" s="53" t="s">
        <v>298</v>
      </c>
      <c r="AI5" s="53" t="s">
        <v>299</v>
      </c>
      <c r="AJ5" s="53" t="s">
        <v>300</v>
      </c>
      <c r="AK5" s="53" t="s">
        <v>301</v>
      </c>
      <c r="AL5" s="53" t="s">
        <v>302</v>
      </c>
      <c r="AM5" s="53" t="s">
        <v>311</v>
      </c>
      <c r="AN5" s="53" t="s">
        <v>312</v>
      </c>
      <c r="AO5" s="53" t="s">
        <v>313</v>
      </c>
      <c r="AP5" s="53" t="s">
        <v>314</v>
      </c>
      <c r="AQ5" s="53" t="s">
        <v>315</v>
      </c>
      <c r="AR5" s="53" t="s">
        <v>316</v>
      </c>
      <c r="AS5" s="53" t="s">
        <v>317</v>
      </c>
      <c r="AT5" s="53" t="s">
        <v>318</v>
      </c>
    </row>
    <row r="6" spans="1:46" x14ac:dyDescent="0.25">
      <c r="A6" s="19" t="s">
        <v>92</v>
      </c>
      <c r="B6" s="19">
        <v>0</v>
      </c>
      <c r="D6" s="32">
        <v>1</v>
      </c>
      <c r="E6" s="54" t="s">
        <v>131</v>
      </c>
      <c r="F6" s="55"/>
      <c r="G6" s="55"/>
      <c r="H6" s="65"/>
      <c r="I6" s="55"/>
      <c r="J6" s="55"/>
      <c r="K6" s="55"/>
      <c r="L6" s="51"/>
      <c r="M6" s="51"/>
      <c r="N6" s="51"/>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row>
    <row r="7" spans="1:46" x14ac:dyDescent="0.25">
      <c r="A7" s="19" t="s">
        <v>94</v>
      </c>
      <c r="B7" s="19" t="b">
        <v>0</v>
      </c>
      <c r="D7" s="32">
        <v>2</v>
      </c>
      <c r="E7" s="54" t="s">
        <v>528</v>
      </c>
      <c r="F7" s="55"/>
      <c r="G7" s="55"/>
      <c r="H7" s="65"/>
      <c r="I7" s="55"/>
      <c r="J7" s="55"/>
      <c r="K7" s="55"/>
      <c r="L7" s="51"/>
      <c r="M7" s="51"/>
      <c r="N7" s="51"/>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row>
    <row r="8" spans="1:46" x14ac:dyDescent="0.25">
      <c r="A8" s="19" t="s">
        <v>96</v>
      </c>
      <c r="B8" s="19" t="b">
        <v>0</v>
      </c>
      <c r="D8" s="32">
        <v>3</v>
      </c>
      <c r="E8" s="54" t="s">
        <v>132</v>
      </c>
      <c r="F8" s="55"/>
      <c r="G8" s="55"/>
      <c r="H8" s="65"/>
      <c r="I8" s="55"/>
      <c r="J8" s="55"/>
      <c r="K8" s="55"/>
      <c r="L8" s="51"/>
      <c r="M8" s="51"/>
      <c r="N8" s="51"/>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row>
    <row r="9" spans="1:46" x14ac:dyDescent="0.25">
      <c r="A9" s="19" t="s">
        <v>434</v>
      </c>
      <c r="B9" s="42" t="b">
        <v>0</v>
      </c>
      <c r="D9" s="32">
        <v>4</v>
      </c>
      <c r="E9" s="54" t="s">
        <v>530</v>
      </c>
      <c r="F9" s="55"/>
      <c r="G9" s="55"/>
      <c r="H9" s="65"/>
      <c r="I9" s="55"/>
      <c r="J9" s="55"/>
      <c r="K9" s="55"/>
      <c r="L9" s="51"/>
      <c r="M9" s="51"/>
      <c r="N9" s="51"/>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row>
    <row r="10" spans="1:46" x14ac:dyDescent="0.25">
      <c r="D10" s="32">
        <v>5</v>
      </c>
      <c r="E10" s="54" t="s">
        <v>133</v>
      </c>
      <c r="F10" s="55"/>
      <c r="G10" s="55"/>
      <c r="H10" s="65"/>
      <c r="I10" s="55"/>
      <c r="J10" s="55"/>
      <c r="K10" s="55"/>
      <c r="L10" s="51"/>
      <c r="M10" s="51"/>
      <c r="N10" s="51"/>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row>
    <row r="11" spans="1:46" x14ac:dyDescent="0.25">
      <c r="D11" s="32">
        <v>6</v>
      </c>
      <c r="E11" s="54" t="s">
        <v>529</v>
      </c>
      <c r="F11" s="55"/>
      <c r="G11" s="55"/>
      <c r="H11" s="65"/>
      <c r="I11" s="55"/>
      <c r="J11" s="55"/>
      <c r="K11" s="55"/>
      <c r="L11" s="51"/>
      <c r="M11" s="51"/>
      <c r="N11" s="51"/>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row>
    <row r="12" spans="1:46" x14ac:dyDescent="0.25">
      <c r="D12" s="32">
        <v>7</v>
      </c>
      <c r="E12" s="54" t="s">
        <v>437</v>
      </c>
      <c r="F12" s="55"/>
      <c r="G12" s="55"/>
      <c r="H12" s="65"/>
      <c r="I12" s="55"/>
      <c r="J12" s="55"/>
      <c r="K12" s="55"/>
      <c r="L12" s="51"/>
      <c r="M12" s="51"/>
      <c r="N12" s="51"/>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row>
    <row r="13" spans="1:46" x14ac:dyDescent="0.25">
      <c r="D13" s="32">
        <v>8</v>
      </c>
      <c r="E13" s="54" t="s">
        <v>438</v>
      </c>
      <c r="F13" s="55"/>
      <c r="G13" s="55"/>
      <c r="H13" s="65"/>
      <c r="I13" s="55"/>
      <c r="J13" s="55"/>
      <c r="K13" s="55"/>
      <c r="L13" s="51"/>
      <c r="M13" s="51"/>
      <c r="N13" s="51"/>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row>
    <row r="14" spans="1:46" x14ac:dyDescent="0.25">
      <c r="D14" s="32">
        <v>9</v>
      </c>
      <c r="E14" s="54" t="s">
        <v>439</v>
      </c>
      <c r="F14" s="55"/>
      <c r="G14" s="55"/>
      <c r="H14" s="65"/>
      <c r="I14" s="55"/>
      <c r="J14" s="55"/>
      <c r="K14" s="55"/>
      <c r="L14" s="51"/>
      <c r="M14" s="51"/>
      <c r="N14" s="51"/>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row>
    <row r="15" spans="1:46" x14ac:dyDescent="0.25">
      <c r="D15" s="11"/>
    </row>
    <row r="16" spans="1:46" x14ac:dyDescent="0.25">
      <c r="D16" s="14"/>
    </row>
    <row r="17" spans="4:4" x14ac:dyDescent="0.25">
      <c r="D17" s="14"/>
    </row>
    <row r="18" spans="4:4" x14ac:dyDescent="0.25">
      <c r="D18" s="14"/>
    </row>
    <row r="19" spans="4:4" x14ac:dyDescent="0.25">
      <c r="D19" s="14"/>
    </row>
    <row r="20" spans="4:4" x14ac:dyDescent="0.25">
      <c r="D20" s="14"/>
    </row>
    <row r="21" spans="4:4" x14ac:dyDescent="0.25">
      <c r="D21" s="14"/>
    </row>
    <row r="22" spans="4:4" x14ac:dyDescent="0.25">
      <c r="D22" s="14"/>
    </row>
    <row r="23" spans="4:4" x14ac:dyDescent="0.25">
      <c r="D23" s="14"/>
    </row>
    <row r="24" spans="4:4" x14ac:dyDescent="0.25">
      <c r="D24" s="14"/>
    </row>
    <row r="25" spans="4:4" x14ac:dyDescent="0.25">
      <c r="D25" s="14"/>
    </row>
    <row r="26" spans="4:4" x14ac:dyDescent="0.25">
      <c r="D26" s="14"/>
    </row>
    <row r="27" spans="4:4" x14ac:dyDescent="0.25">
      <c r="D27" s="14"/>
    </row>
    <row r="28" spans="4:4" x14ac:dyDescent="0.25">
      <c r="D28" s="14"/>
    </row>
    <row r="29" spans="4:4" x14ac:dyDescent="0.25">
      <c r="D29" s="14"/>
    </row>
    <row r="30" spans="4:4" x14ac:dyDescent="0.25">
      <c r="D30" s="14"/>
    </row>
    <row r="31" spans="4:4" x14ac:dyDescent="0.25">
      <c r="D31" s="14"/>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eportMember35ySheet">
    <tabColor rgb="FF00B0F0"/>
  </sheetPr>
  <dimension ref="A1:AE171"/>
  <sheetViews>
    <sheetView zoomScaleNormal="100" workbookViewId="0"/>
  </sheetViews>
  <sheetFormatPr defaultColWidth="9.140625" defaultRowHeight="15" x14ac:dyDescent="0.25"/>
  <cols>
    <col min="1" max="1" width="13.140625" style="228" customWidth="1"/>
    <col min="2" max="2" width="19.85546875" style="228" customWidth="1"/>
    <col min="3" max="3" width="9.140625" style="231" customWidth="1"/>
    <col min="4" max="4" width="3" style="231" customWidth="1"/>
    <col min="5" max="5" width="4.42578125" style="231" customWidth="1"/>
    <col min="6" max="6" width="5.140625" style="231" customWidth="1"/>
    <col min="7" max="10" width="13.28515625" style="231" customWidth="1"/>
    <col min="11" max="12" width="9.85546875" style="231" customWidth="1"/>
    <col min="13" max="13" width="9.28515625" style="231" customWidth="1"/>
    <col min="14" max="14" width="12.85546875" style="231" customWidth="1"/>
    <col min="15" max="15" width="7.7109375" style="231" customWidth="1"/>
    <col min="16" max="16" width="12.5703125" style="231" customWidth="1"/>
    <col min="17" max="17" width="10.5703125" style="231" customWidth="1"/>
    <col min="18" max="18" width="8.140625" style="231" customWidth="1"/>
    <col min="19" max="20" width="8.7109375" style="231" customWidth="1"/>
    <col min="21" max="23" width="9.140625" style="231"/>
    <col min="24" max="24" width="9.85546875" style="231" customWidth="1"/>
    <col min="25" max="27" width="10" style="231" customWidth="1"/>
    <col min="28" max="16384" width="9.140625" style="231"/>
  </cols>
  <sheetData>
    <row r="1" spans="1:15" s="228" customFormat="1" x14ac:dyDescent="0.25">
      <c r="A1" s="228" t="s">
        <v>71</v>
      </c>
      <c r="B1" s="228" t="s">
        <v>138</v>
      </c>
      <c r="K1" s="228">
        <f>INDEX(tblMapSimulations[],MATCH(K2,tblMapSimulations[[ScenarioName]:[ScenarioName]],0),MATCH(Member,tblMapSimulations[#Headers]))</f>
        <v>1</v>
      </c>
      <c r="L1" s="228">
        <f>INDEX(tblMapSimulations[],MATCH(L2,tblMapSimulations[[ScenarioName]:[ScenarioName]],0),MATCH(Member,tblMapSimulations[#Headers]))</f>
        <v>2</v>
      </c>
      <c r="N1" s="228">
        <f>INDEX(tblMapSimulations[],MATCH(N2,tblMapSimulations[[ScenarioName]:[ScenarioName]],0),MATCH(Member,tblMapSimulations[#Headers]))</f>
        <v>7</v>
      </c>
    </row>
    <row r="2" spans="1:15" s="228" customFormat="1" x14ac:dyDescent="0.25">
      <c r="A2" s="228" t="s">
        <v>73</v>
      </c>
      <c r="B2" s="228">
        <v>1.1000000000000001</v>
      </c>
      <c r="K2" s="229" t="s">
        <v>194</v>
      </c>
      <c r="L2" s="229" t="s">
        <v>526</v>
      </c>
      <c r="M2" s="230"/>
      <c r="N2" s="230" t="s">
        <v>450</v>
      </c>
    </row>
    <row r="3" spans="1:15" x14ac:dyDescent="0.25">
      <c r="A3" s="228" t="s">
        <v>89</v>
      </c>
      <c r="B3" s="228">
        <v>3</v>
      </c>
    </row>
    <row r="4" spans="1:15" x14ac:dyDescent="0.25">
      <c r="A4" s="228" t="s">
        <v>90</v>
      </c>
      <c r="B4" s="228">
        <v>3</v>
      </c>
    </row>
    <row r="5" spans="1:15" ht="26.25" x14ac:dyDescent="0.4">
      <c r="A5" s="228" t="s">
        <v>91</v>
      </c>
      <c r="B5" s="228">
        <v>172</v>
      </c>
      <c r="K5" s="232" t="s">
        <v>141</v>
      </c>
    </row>
    <row r="6" spans="1:15" x14ac:dyDescent="0.25">
      <c r="A6" s="228" t="s">
        <v>92</v>
      </c>
      <c r="B6" s="228">
        <v>32</v>
      </c>
    </row>
    <row r="7" spans="1:15" x14ac:dyDescent="0.25">
      <c r="A7" s="228" t="s">
        <v>94</v>
      </c>
      <c r="B7" s="228" t="b">
        <v>0</v>
      </c>
    </row>
    <row r="8" spans="1:15" x14ac:dyDescent="0.25">
      <c r="A8" s="228" t="s">
        <v>96</v>
      </c>
      <c r="B8" s="228" t="b">
        <v>1</v>
      </c>
    </row>
    <row r="9" spans="1:15" s="233" customFormat="1" ht="15" customHeight="1" x14ac:dyDescent="0.25">
      <c r="A9" s="233" t="s">
        <v>434</v>
      </c>
      <c r="B9" s="234" t="b">
        <v>0</v>
      </c>
      <c r="D9" s="235"/>
      <c r="E9" s="235"/>
      <c r="F9" s="235"/>
      <c r="G9" s="235"/>
      <c r="H9" s="235"/>
      <c r="I9" s="235"/>
      <c r="J9" s="235"/>
      <c r="K9" s="235"/>
      <c r="L9" s="235"/>
      <c r="M9" s="235"/>
      <c r="N9" s="235"/>
    </row>
    <row r="10" spans="1:15" x14ac:dyDescent="0.25">
      <c r="A10" s="236" t="s">
        <v>76</v>
      </c>
      <c r="B10" s="237" t="s">
        <v>128</v>
      </c>
      <c r="D10" s="236"/>
      <c r="E10" s="236"/>
      <c r="F10" s="236"/>
      <c r="G10" s="236"/>
      <c r="H10" s="236"/>
      <c r="I10" s="236"/>
      <c r="J10" s="236"/>
      <c r="K10" s="236"/>
      <c r="L10" s="238"/>
      <c r="M10" s="236"/>
      <c r="N10" s="236"/>
      <c r="O10" s="236"/>
    </row>
    <row r="11" spans="1:15" ht="36" customHeight="1" x14ac:dyDescent="0.25">
      <c r="B11" s="228">
        <f>MATCH(Member,ListMemberSheets,0)</f>
        <v>1</v>
      </c>
      <c r="D11" s="236"/>
      <c r="E11" s="239"/>
      <c r="F11" s="239"/>
      <c r="G11" s="239"/>
      <c r="H11" s="239"/>
      <c r="I11" s="239"/>
      <c r="J11" s="239"/>
      <c r="K11" s="240" t="s">
        <v>135</v>
      </c>
      <c r="L11" s="240" t="s">
        <v>544</v>
      </c>
      <c r="M11" s="240"/>
      <c r="N11" s="240" t="s">
        <v>449</v>
      </c>
      <c r="O11" s="236"/>
    </row>
    <row r="12" spans="1:15" x14ac:dyDescent="0.25">
      <c r="D12" s="236"/>
      <c r="E12" s="241" t="s">
        <v>362</v>
      </c>
      <c r="F12" s="241"/>
      <c r="G12" s="236"/>
      <c r="H12" s="236"/>
      <c r="I12" s="236"/>
      <c r="J12" s="236"/>
      <c r="K12" s="236"/>
      <c r="L12" s="236"/>
      <c r="M12" s="236"/>
      <c r="N12" s="236"/>
      <c r="O12" s="236"/>
    </row>
    <row r="13" spans="1:15" x14ac:dyDescent="0.25">
      <c r="D13" s="236"/>
      <c r="E13" s="236"/>
      <c r="F13" s="236"/>
      <c r="G13" s="242" t="s">
        <v>137</v>
      </c>
      <c r="H13" s="242"/>
      <c r="I13" s="242"/>
      <c r="J13" s="242"/>
      <c r="K13" s="243">
        <f>INDEX(tblSimulationOutcomes[Val::Final_wage],K$1)</f>
        <v>0</v>
      </c>
      <c r="L13" s="243">
        <f>INDEX(tblSimulationOutcomes[Val::Final_wage],L$1)</f>
        <v>0</v>
      </c>
      <c r="M13" s="244"/>
      <c r="N13" s="244"/>
      <c r="O13" s="236"/>
    </row>
    <row r="14" spans="1:15" x14ac:dyDescent="0.25">
      <c r="D14" s="236"/>
      <c r="E14" s="236"/>
      <c r="F14" s="236"/>
      <c r="G14" s="242" t="s">
        <v>363</v>
      </c>
      <c r="H14" s="242"/>
      <c r="I14" s="242"/>
      <c r="J14" s="242"/>
      <c r="K14" s="244"/>
      <c r="L14" s="245" t="e">
        <f>L13/$K13-1</f>
        <v>#DIV/0!</v>
      </c>
      <c r="M14" s="246"/>
      <c r="N14" s="246"/>
      <c r="O14" s="236"/>
    </row>
    <row r="15" spans="1:15" x14ac:dyDescent="0.25">
      <c r="D15" s="236"/>
      <c r="E15" s="239"/>
      <c r="F15" s="239"/>
      <c r="G15" s="239"/>
      <c r="H15" s="239"/>
      <c r="I15" s="239"/>
      <c r="J15" s="239"/>
      <c r="K15" s="239"/>
      <c r="L15" s="239"/>
      <c r="M15" s="239"/>
      <c r="N15" s="239"/>
      <c r="O15" s="236"/>
    </row>
    <row r="16" spans="1:15" x14ac:dyDescent="0.25">
      <c r="D16" s="236"/>
      <c r="E16" s="241" t="s">
        <v>401</v>
      </c>
      <c r="F16" s="239"/>
      <c r="G16" s="239"/>
      <c r="H16" s="239"/>
      <c r="I16" s="239"/>
      <c r="J16" s="239"/>
      <c r="K16" s="247">
        <f>INDEX(tblSimulationOutcomes[Val::Life_expectancy_from_retirement],K$1)</f>
        <v>0</v>
      </c>
      <c r="L16" s="247">
        <f>INDEX(tblSimulationOutcomes[Val::Life_expectancy_from_retirement],L$1)</f>
        <v>0</v>
      </c>
      <c r="M16" s="248"/>
      <c r="N16" s="248"/>
      <c r="O16" s="236"/>
    </row>
    <row r="17" spans="1:16" x14ac:dyDescent="0.25">
      <c r="D17" s="236"/>
      <c r="E17" s="239"/>
      <c r="F17" s="239"/>
      <c r="G17" s="239"/>
      <c r="H17" s="239"/>
      <c r="I17" s="239"/>
      <c r="J17" s="239"/>
      <c r="K17" s="239"/>
      <c r="L17" s="239"/>
      <c r="M17" s="239"/>
      <c r="N17" s="239"/>
      <c r="O17" s="236"/>
    </row>
    <row r="18" spans="1:16" x14ac:dyDescent="0.25">
      <c r="D18" s="236"/>
      <c r="E18" s="241" t="s">
        <v>368</v>
      </c>
      <c r="F18" s="241"/>
      <c r="G18" s="249"/>
      <c r="H18" s="249"/>
      <c r="I18" s="242"/>
      <c r="J18" s="249"/>
      <c r="K18" s="239"/>
      <c r="L18" s="239"/>
      <c r="M18" s="239"/>
      <c r="N18" s="239"/>
      <c r="O18" s="236"/>
    </row>
    <row r="19" spans="1:16" x14ac:dyDescent="0.25">
      <c r="A19" s="228" t="e">
        <f>MATCH(1,[0]!YTRSim,0)</f>
        <v>#REF!</v>
      </c>
      <c r="D19" s="236"/>
      <c r="E19" s="236"/>
      <c r="F19" s="236"/>
      <c r="G19" s="242" t="s">
        <v>136</v>
      </c>
      <c r="H19" s="242"/>
      <c r="I19" s="242"/>
      <c r="J19" s="242"/>
      <c r="K19" s="250">
        <f>INDEX(tblSimulationOutcomes[Val::Pension_wealth],K$1)</f>
        <v>0</v>
      </c>
      <c r="L19" s="250">
        <f>INDEX(tblSimulationOutcomes[Val::Pension_wealth],L$1)</f>
        <v>0</v>
      </c>
      <c r="M19" s="251"/>
      <c r="N19" s="250">
        <f>INDEX(tblSimulationOutcomes[Val::Pension_wealth],N$1)</f>
        <v>0</v>
      </c>
      <c r="O19" s="236"/>
    </row>
    <row r="20" spans="1:16" x14ac:dyDescent="0.25">
      <c r="D20" s="236"/>
      <c r="E20" s="252"/>
      <c r="F20" s="252"/>
      <c r="G20" s="242" t="s">
        <v>363</v>
      </c>
      <c r="H20" s="242"/>
      <c r="I20" s="242"/>
      <c r="J20" s="242"/>
      <c r="K20" s="251"/>
      <c r="L20" s="253" t="e">
        <f>L19/$K19-1</f>
        <v>#DIV/0!</v>
      </c>
      <c r="M20" s="254"/>
      <c r="N20" s="255" t="e">
        <f>N19/$K19-1</f>
        <v>#DIV/0!</v>
      </c>
      <c r="O20" s="236"/>
    </row>
    <row r="21" spans="1:16" x14ac:dyDescent="0.25">
      <c r="D21" s="236"/>
      <c r="E21" s="252"/>
      <c r="F21" s="252"/>
      <c r="G21" s="242"/>
      <c r="H21" s="242"/>
      <c r="I21" s="242"/>
      <c r="J21" s="242"/>
      <c r="K21" s="251"/>
      <c r="L21" s="254"/>
      <c r="M21" s="254"/>
      <c r="N21" s="254"/>
      <c r="O21" s="236"/>
    </row>
    <row r="22" spans="1:16" hidden="1" x14ac:dyDescent="0.25">
      <c r="D22" s="236"/>
      <c r="E22" s="252"/>
      <c r="F22" s="252"/>
      <c r="G22" s="242" t="s">
        <v>364</v>
      </c>
      <c r="H22" s="242"/>
      <c r="I22" s="242"/>
      <c r="J22" s="242"/>
      <c r="K22" s="251"/>
      <c r="L22" s="256">
        <f>IF(INDEX(tblSimulationOutcomes[[ContrExit::Pension_wealth]:[ContrExit::Pension_wealth]],L$1)=0,INDEX(tblSimulationOutcomes[[Contr::Pension_wealth]:[Contr::Pension_wealth]],L$1), "-")</f>
        <v>0</v>
      </c>
      <c r="M22" s="257"/>
      <c r="N22" s="256">
        <f>IF(INDEX(tblSimulationOutcomes[[ContrExit::Pension_wealth]:[ContrExit::Pension_wealth]],N$1)=0,INDEX(tblSimulationOutcomes[[Contr::Pension_wealth]:[Contr::Pension_wealth]],N$1), "-")</f>
        <v>0</v>
      </c>
      <c r="O22" s="236"/>
    </row>
    <row r="23" spans="1:16" hidden="1" x14ac:dyDescent="0.25">
      <c r="D23" s="236"/>
      <c r="E23" s="252"/>
      <c r="F23" s="252"/>
      <c r="G23" s="242" t="s">
        <v>365</v>
      </c>
      <c r="H23" s="242"/>
      <c r="I23" s="242"/>
      <c r="J23" s="242"/>
      <c r="K23" s="251"/>
      <c r="L23" s="250">
        <f>IF(INDEX(tblSimulationOutcomes[[PAExit::Pension_wealth]:[PAExit::Pension_wealth]],L$1)=0,ROUND(12*INDEX(tblSimulationOutcomes[[PA::Pension_wealth]:[PA::Pension_wealth]],L$1),0), "-")</f>
        <v>0</v>
      </c>
      <c r="M23" s="251"/>
      <c r="N23" s="250">
        <f>IF(INDEX(tblSimulationOutcomes[[PAExit::Pension_wealth]:[PAExit::Pension_wealth]],N$1)=0,ROUND(12*INDEX(tblSimulationOutcomes[[PA::Pension_wealth]:[PA::Pension_wealth]],N$1),0), "-")</f>
        <v>0</v>
      </c>
      <c r="O23" s="236"/>
    </row>
    <row r="24" spans="1:16" hidden="1" x14ac:dyDescent="0.25">
      <c r="D24" s="236"/>
      <c r="E24" s="252"/>
      <c r="F24" s="252"/>
      <c r="G24" s="242"/>
      <c r="H24" s="242"/>
      <c r="I24" s="242"/>
      <c r="J24" s="242"/>
      <c r="K24" s="251"/>
      <c r="L24" s="251"/>
      <c r="M24" s="251"/>
      <c r="N24" s="251"/>
      <c r="O24" s="236"/>
    </row>
    <row r="25" spans="1:16" s="233" customFormat="1" x14ac:dyDescent="0.25"/>
    <row r="26" spans="1:16" ht="18.75" x14ac:dyDescent="0.3">
      <c r="D26" s="236"/>
      <c r="E26" s="258" t="s">
        <v>367</v>
      </c>
      <c r="F26" s="258"/>
      <c r="G26" s="236"/>
      <c r="H26" s="236"/>
      <c r="I26" s="236"/>
      <c r="J26" s="236"/>
      <c r="K26" s="236"/>
      <c r="L26" s="236"/>
      <c r="M26" s="236"/>
      <c r="N26" s="236"/>
      <c r="O26" s="236"/>
    </row>
    <row r="27" spans="1:16" ht="27.75" customHeight="1" x14ac:dyDescent="0.25">
      <c r="D27" s="236"/>
      <c r="E27" s="236"/>
      <c r="F27" s="236"/>
      <c r="G27" s="242"/>
      <c r="H27" s="242"/>
      <c r="I27" s="242"/>
      <c r="J27" s="242"/>
      <c r="K27" s="240" t="s">
        <v>135</v>
      </c>
      <c r="L27" s="240" t="s">
        <v>544</v>
      </c>
      <c r="M27" s="240"/>
      <c r="N27" s="240" t="s">
        <v>449</v>
      </c>
      <c r="O27" s="236"/>
    </row>
    <row r="28" spans="1:16" x14ac:dyDescent="0.25">
      <c r="D28" s="236"/>
      <c r="E28" s="236"/>
      <c r="F28" s="259" t="s">
        <v>254</v>
      </c>
      <c r="G28" s="236"/>
      <c r="H28" s="236"/>
      <c r="I28" s="236"/>
      <c r="J28" s="236"/>
      <c r="K28" s="236"/>
      <c r="L28" s="236"/>
      <c r="M28" s="236"/>
      <c r="N28" s="236"/>
      <c r="O28" s="260"/>
      <c r="P28" s="233"/>
    </row>
    <row r="29" spans="1:16" x14ac:dyDescent="0.25">
      <c r="D29" s="236"/>
      <c r="E29" s="236"/>
      <c r="F29" s="236"/>
      <c r="G29" s="236" t="s">
        <v>371</v>
      </c>
      <c r="H29" s="236"/>
      <c r="I29" s="236"/>
      <c r="J29" s="236"/>
      <c r="K29" s="261">
        <f>INDEX(tblSimulationOutcomes[Val::PensionIncNomAnnuity],K$1)</f>
        <v>0</v>
      </c>
      <c r="L29" s="261">
        <f>INDEX(tblSimulationOutcomes[Val::PensionIncNomAnnuity],L$1)</f>
        <v>0</v>
      </c>
      <c r="M29" s="244"/>
      <c r="N29" s="261">
        <f>INDEX(tblSimulationOutcomes[Val::PensionIncNomAnnuity],N$1)</f>
        <v>0</v>
      </c>
      <c r="O29" s="260"/>
      <c r="P29" s="233"/>
    </row>
    <row r="30" spans="1:16" x14ac:dyDescent="0.25">
      <c r="D30" s="236"/>
      <c r="E30" s="236"/>
      <c r="F30" s="236"/>
      <c r="G30" s="242" t="s">
        <v>366</v>
      </c>
      <c r="H30" s="242"/>
      <c r="I30" s="242"/>
      <c r="J30" s="242"/>
      <c r="K30" s="246"/>
      <c r="L30" s="245" t="e">
        <f>L29/$K29-1</f>
        <v>#DIV/0!</v>
      </c>
      <c r="M30" s="246"/>
      <c r="N30" s="262" t="e">
        <f>N29/$K29-1</f>
        <v>#DIV/0!</v>
      </c>
      <c r="O30" s="260"/>
      <c r="P30" s="233"/>
    </row>
    <row r="31" spans="1:16" x14ac:dyDescent="0.25">
      <c r="D31" s="236"/>
      <c r="E31" s="236"/>
      <c r="F31" s="236"/>
      <c r="G31" s="242"/>
      <c r="H31" s="242"/>
      <c r="I31" s="242"/>
      <c r="J31" s="242"/>
      <c r="K31" s="246"/>
      <c r="L31" s="246"/>
      <c r="M31" s="246"/>
      <c r="N31" s="246"/>
      <c r="O31" s="260"/>
      <c r="P31" s="233"/>
    </row>
    <row r="32" spans="1:16" hidden="1" x14ac:dyDescent="0.25">
      <c r="D32" s="236"/>
      <c r="E32" s="236"/>
      <c r="F32" s="236"/>
      <c r="G32" s="242" t="s">
        <v>364</v>
      </c>
      <c r="H32" s="242"/>
      <c r="I32" s="242"/>
      <c r="J32" s="242"/>
      <c r="K32" s="251"/>
      <c r="L32" s="256">
        <f>IF(INDEX(tblSimulationOutcomes[[ContrExit::PensionIncNomAnnuity]:[ContrExit::PensionIncNomAnnuity]],L$1)=0,INDEX(tblSimulationOutcomes[[Contr::PensionIncNomAnnuity]:[Contr::PensionIncNomAnnuity]],L$1), "-")</f>
        <v>0</v>
      </c>
      <c r="M32" s="257"/>
      <c r="N32" s="256">
        <f>IF(INDEX(tblSimulationOutcomes[[ContrExit::PensionIncNomAnnuity]:[ContrExit::PensionIncNomAnnuity]],N$1)=0,INDEX(tblSimulationOutcomes[[Contr::PensionIncNomAnnuity]:[Contr::PensionIncNomAnnuity]],N$1), "-")</f>
        <v>0</v>
      </c>
      <c r="O32" s="260"/>
      <c r="P32" s="233"/>
    </row>
    <row r="33" spans="4:16" hidden="1" x14ac:dyDescent="0.25">
      <c r="D33" s="236"/>
      <c r="E33" s="236"/>
      <c r="F33" s="236"/>
      <c r="G33" s="242" t="s">
        <v>365</v>
      </c>
      <c r="H33" s="242"/>
      <c r="I33" s="242"/>
      <c r="J33" s="242"/>
      <c r="K33" s="251"/>
      <c r="L33" s="250">
        <f>IF(INDEX(tblSimulationOutcomes[[PAExit::PensionIncNomAnnuity]:[PAExit::PensionIncNomAnnuity]],L$1)=0,ROUND(12*INDEX(tblSimulationOutcomes[[PA::PensionIncNomAnnuity]:[PA::PensionIncNomAnnuity]],L$1),0), "-")</f>
        <v>0</v>
      </c>
      <c r="M33" s="251"/>
      <c r="N33" s="250">
        <f>IF(INDEX(tblSimulationOutcomes[[PAExit::PensionIncNomAnnuity]:[PAExit::PensionIncNomAnnuity]],N$1)=0,ROUND(12*INDEX(tblSimulationOutcomes[[PA::PensionIncNomAnnuity]:[PA::PensionIncNomAnnuity]],N$1),0), "-")</f>
        <v>0</v>
      </c>
      <c r="O33" s="260"/>
      <c r="P33" s="233"/>
    </row>
    <row r="34" spans="4:16" hidden="1" x14ac:dyDescent="0.25">
      <c r="D34" s="236"/>
      <c r="E34" s="236"/>
      <c r="F34" s="236"/>
      <c r="G34" s="236"/>
      <c r="H34" s="236"/>
      <c r="I34" s="236"/>
      <c r="J34" s="236"/>
      <c r="K34" s="236"/>
      <c r="L34" s="236"/>
      <c r="M34" s="236"/>
      <c r="N34" s="236"/>
      <c r="O34" s="236"/>
    </row>
    <row r="35" spans="4:16" x14ac:dyDescent="0.25">
      <c r="D35" s="236"/>
      <c r="E35" s="236"/>
      <c r="F35" s="259" t="s">
        <v>353</v>
      </c>
      <c r="G35" s="236"/>
      <c r="H35" s="236"/>
      <c r="I35" s="236"/>
      <c r="J35" s="236"/>
      <c r="K35" s="236"/>
      <c r="L35" s="236"/>
      <c r="M35" s="236"/>
      <c r="N35" s="236"/>
      <c r="O35" s="260"/>
    </row>
    <row r="36" spans="4:16" x14ac:dyDescent="0.25">
      <c r="D36" s="236"/>
      <c r="E36" s="236"/>
      <c r="F36" s="236"/>
      <c r="G36" s="236" t="s">
        <v>371</v>
      </c>
      <c r="H36" s="236"/>
      <c r="I36" s="236"/>
      <c r="J36" s="236"/>
      <c r="K36" s="261">
        <f>INDEX(tblSimulationOutcomes[Val::PensionIncRealAnnuity],K$1)</f>
        <v>0</v>
      </c>
      <c r="L36" s="261">
        <f>INDEX(tblSimulationOutcomes[Val::PensionIncRealAnnuity],L$1)</f>
        <v>0</v>
      </c>
      <c r="M36" s="244"/>
      <c r="N36" s="261">
        <f>INDEX(tblSimulationOutcomes[Val::PensionIncRealAnnuity],N$1)</f>
        <v>0</v>
      </c>
      <c r="O36" s="260"/>
    </row>
    <row r="37" spans="4:16" x14ac:dyDescent="0.25">
      <c r="D37" s="236"/>
      <c r="E37" s="236"/>
      <c r="F37" s="236"/>
      <c r="G37" s="242" t="s">
        <v>366</v>
      </c>
      <c r="H37" s="242"/>
      <c r="I37" s="242"/>
      <c r="J37" s="242"/>
      <c r="K37" s="246"/>
      <c r="L37" s="245" t="e">
        <f>L36/$K36-1</f>
        <v>#DIV/0!</v>
      </c>
      <c r="M37" s="246"/>
      <c r="N37" s="262" t="e">
        <f>N36/$K36-1</f>
        <v>#DIV/0!</v>
      </c>
      <c r="O37" s="260"/>
    </row>
    <row r="38" spans="4:16" x14ac:dyDescent="0.25">
      <c r="D38" s="236"/>
      <c r="E38" s="236"/>
      <c r="F38" s="236"/>
      <c r="G38" s="242"/>
      <c r="H38" s="242"/>
      <c r="I38" s="242"/>
      <c r="J38" s="242"/>
      <c r="K38" s="246"/>
      <c r="L38" s="246"/>
      <c r="M38" s="246"/>
      <c r="N38" s="246"/>
      <c r="O38" s="260"/>
    </row>
    <row r="39" spans="4:16" hidden="1" x14ac:dyDescent="0.25">
      <c r="D39" s="236"/>
      <c r="E39" s="236"/>
      <c r="F39" s="236"/>
      <c r="G39" s="242" t="s">
        <v>364</v>
      </c>
      <c r="H39" s="242"/>
      <c r="I39" s="242"/>
      <c r="J39" s="242"/>
      <c r="K39" s="251"/>
      <c r="L39" s="256">
        <f>IF(INDEX(tblSimulationOutcomes[[ContrExit::PensionIncRealAnnuity]:[ContrExit::PensionIncRealAnnuity]],L$1)=0,INDEX(tblSimulationOutcomes[[Contr::PensionIncRealAnnuity]:[Contr::PensionIncRealAnnuity]],L$1), "-")</f>
        <v>0</v>
      </c>
      <c r="M39" s="257"/>
      <c r="N39" s="256">
        <f>IF(INDEX(tblSimulationOutcomes[[ContrExit::PensionIncRealAnnuity]:[ContrExit::PensionIncRealAnnuity]],N$1)=0,INDEX(tblSimulationOutcomes[[Contr::PensionIncRealAnnuity]:[Contr::PensionIncRealAnnuity]],N$1), "-")</f>
        <v>0</v>
      </c>
      <c r="O39" s="260"/>
    </row>
    <row r="40" spans="4:16" hidden="1" x14ac:dyDescent="0.25">
      <c r="D40" s="236"/>
      <c r="E40" s="236"/>
      <c r="F40" s="236"/>
      <c r="G40" s="242" t="s">
        <v>365</v>
      </c>
      <c r="H40" s="242"/>
      <c r="I40" s="242"/>
      <c r="J40" s="242"/>
      <c r="K40" s="251"/>
      <c r="L40" s="250">
        <f>IF(INDEX(tblSimulationOutcomes[[PAExit::PensionIncRealAnnuity]:[PAExit::PensionIncRealAnnuity]],L$1)=0,ROUND(12*INDEX(tblSimulationOutcomes[[PA::PensionIncRealAnnuity]:[PA::PensionIncRealAnnuity]],L$1),0), "-")</f>
        <v>0</v>
      </c>
      <c r="M40" s="251"/>
      <c r="N40" s="250">
        <f>IF(INDEX(tblSimulationOutcomes[[PAExit::PensionIncRealAnnuity]:[PAExit::PensionIncRealAnnuity]],N$1)=0,ROUND(12*INDEX(tblSimulationOutcomes[[PA::PensionIncRealAnnuity]:[PA::PensionIncRealAnnuity]],N$1),0), "-")</f>
        <v>0</v>
      </c>
      <c r="O40" s="260"/>
    </row>
    <row r="41" spans="4:16" hidden="1" x14ac:dyDescent="0.25">
      <c r="D41" s="236"/>
      <c r="E41" s="236"/>
      <c r="F41" s="236"/>
      <c r="G41" s="236"/>
      <c r="H41" s="236"/>
      <c r="I41" s="236"/>
      <c r="J41" s="236"/>
      <c r="K41" s="236"/>
      <c r="L41" s="236"/>
      <c r="M41" s="236"/>
      <c r="N41" s="236"/>
      <c r="O41" s="236"/>
    </row>
    <row r="42" spans="4:16" x14ac:dyDescent="0.25">
      <c r="D42" s="236"/>
      <c r="E42" s="236"/>
      <c r="F42" s="259" t="s">
        <v>255</v>
      </c>
      <c r="G42" s="236"/>
      <c r="H42" s="236"/>
      <c r="I42" s="236"/>
      <c r="J42" s="236"/>
      <c r="K42" s="236"/>
      <c r="L42" s="236"/>
      <c r="M42" s="236"/>
      <c r="N42" s="236"/>
      <c r="O42" s="236"/>
    </row>
    <row r="43" spans="4:16" x14ac:dyDescent="0.25">
      <c r="D43" s="236"/>
      <c r="E43" s="236"/>
      <c r="F43" s="236"/>
      <c r="G43" s="236" t="s">
        <v>371</v>
      </c>
      <c r="H43" s="236"/>
      <c r="I43" s="236"/>
      <c r="J43" s="236"/>
      <c r="K43" s="261">
        <f>INDEX(tblSimulationOutcomes[Val::PensionIncNomDD],K$1)</f>
        <v>0</v>
      </c>
      <c r="L43" s="261">
        <f>INDEX(tblSimulationOutcomes[Val::PensionIncNomDD],L$1)</f>
        <v>0</v>
      </c>
      <c r="M43" s="244"/>
      <c r="N43" s="261">
        <f>INDEX(tblSimulationOutcomes[Val::PensionIncNomDD],N$1)</f>
        <v>0</v>
      </c>
      <c r="O43" s="236"/>
    </row>
    <row r="44" spans="4:16" x14ac:dyDescent="0.25">
      <c r="D44" s="236"/>
      <c r="E44" s="236"/>
      <c r="F44" s="236"/>
      <c r="G44" s="242" t="s">
        <v>366</v>
      </c>
      <c r="H44" s="242"/>
      <c r="I44" s="242"/>
      <c r="J44" s="242"/>
      <c r="K44" s="246"/>
      <c r="L44" s="245" t="e">
        <f>L43/$K43-1</f>
        <v>#DIV/0!</v>
      </c>
      <c r="M44" s="246"/>
      <c r="N44" s="262" t="e">
        <f>N43/$K43-1</f>
        <v>#DIV/0!</v>
      </c>
      <c r="O44" s="236"/>
    </row>
    <row r="45" spans="4:16" x14ac:dyDescent="0.25">
      <c r="D45" s="236"/>
      <c r="E45" s="236"/>
      <c r="F45" s="236"/>
      <c r="G45" s="242"/>
      <c r="H45" s="242"/>
      <c r="I45" s="242"/>
      <c r="J45" s="242"/>
      <c r="K45" s="246"/>
      <c r="L45" s="246"/>
      <c r="M45" s="246"/>
      <c r="N45" s="246"/>
      <c r="O45" s="236"/>
    </row>
    <row r="46" spans="4:16" hidden="1" x14ac:dyDescent="0.25">
      <c r="D46" s="236"/>
      <c r="E46" s="236"/>
      <c r="F46" s="236"/>
      <c r="G46" s="242" t="s">
        <v>364</v>
      </c>
      <c r="H46" s="242"/>
      <c r="I46" s="242"/>
      <c r="J46" s="242"/>
      <c r="K46" s="251"/>
      <c r="L46" s="256">
        <f>IF(INDEX(tblSimulationOutcomes[[ContrExit::PensionIncNomDD]:[ContrExit::PensionIncNomDD]],L$1)=0,INDEX(tblSimulationOutcomes[[Contr::PensionIncNomDD]:[Contr::PensionIncNomDD]],L$1), "-")</f>
        <v>0</v>
      </c>
      <c r="M46" s="257"/>
      <c r="N46" s="256">
        <f>IF(INDEX(tblSimulationOutcomes[[ContrExit::PensionIncNomDD]:[ContrExit::PensionIncNomDD]],N$1)=0,INDEX(tblSimulationOutcomes[[Contr::PensionIncNomDD]:[Contr::PensionIncNomDD]],N$1), "-")</f>
        <v>0</v>
      </c>
      <c r="O46" s="236"/>
    </row>
    <row r="47" spans="4:16" hidden="1" x14ac:dyDescent="0.25">
      <c r="D47" s="236"/>
      <c r="E47" s="236"/>
      <c r="F47" s="236"/>
      <c r="G47" s="242" t="s">
        <v>365</v>
      </c>
      <c r="H47" s="242"/>
      <c r="I47" s="242"/>
      <c r="J47" s="242"/>
      <c r="K47" s="251"/>
      <c r="L47" s="250">
        <f>IF(INDEX(tblSimulationOutcomes[[PAExit::PensionIncNomDD]:[PAExit::PensionIncNomDD]],L$1)=0,ROUND(12*INDEX(tblSimulationOutcomes[[PA::PensionIncNomDD]:[PA::PensionIncNomDD]],L$1),0), "-")</f>
        <v>0</v>
      </c>
      <c r="M47" s="251"/>
      <c r="N47" s="250">
        <f>IF(INDEX(tblSimulationOutcomes[[PAExit::PensionIncNomDD]:[PAExit::PensionIncNomDD]],N$1)=0,ROUND(12*INDEX(tblSimulationOutcomes[[PA::PensionIncNomDD]:[PA::PensionIncNomDD]],N$1),0), "-")</f>
        <v>0</v>
      </c>
      <c r="O47" s="236"/>
    </row>
    <row r="48" spans="4:16" hidden="1" x14ac:dyDescent="0.25">
      <c r="D48" s="236"/>
      <c r="E48" s="236"/>
      <c r="F48" s="236"/>
      <c r="G48" s="242"/>
      <c r="H48" s="242"/>
      <c r="I48" s="242"/>
      <c r="J48" s="242"/>
      <c r="K48" s="251"/>
      <c r="L48" s="251"/>
      <c r="M48" s="251"/>
      <c r="N48" s="251"/>
      <c r="O48" s="236"/>
    </row>
    <row r="49" spans="1:15" s="233" customFormat="1" x14ac:dyDescent="0.25">
      <c r="G49" s="263"/>
      <c r="H49" s="263"/>
      <c r="I49" s="263"/>
      <c r="J49" s="263"/>
      <c r="K49" s="264"/>
      <c r="L49" s="264"/>
      <c r="M49" s="264"/>
      <c r="N49" s="264"/>
    </row>
    <row r="50" spans="1:15" ht="18.75" x14ac:dyDescent="0.3">
      <c r="D50" s="236"/>
      <c r="E50" s="258" t="s">
        <v>369</v>
      </c>
      <c r="F50" s="258"/>
      <c r="G50" s="236"/>
      <c r="H50" s="236"/>
      <c r="I50" s="236"/>
      <c r="J50" s="236"/>
      <c r="K50" s="236"/>
      <c r="L50" s="236"/>
      <c r="M50" s="236"/>
      <c r="N50" s="236"/>
      <c r="O50" s="236"/>
    </row>
    <row r="51" spans="1:15" ht="33" customHeight="1" x14ac:dyDescent="0.3">
      <c r="D51" s="236"/>
      <c r="E51" s="258"/>
      <c r="F51" s="258"/>
      <c r="G51" s="236"/>
      <c r="H51" s="236"/>
      <c r="I51" s="236"/>
      <c r="J51" s="236"/>
      <c r="K51" s="240" t="s">
        <v>135</v>
      </c>
      <c r="L51" s="240" t="s">
        <v>544</v>
      </c>
      <c r="M51" s="240"/>
      <c r="N51" s="240" t="s">
        <v>449</v>
      </c>
      <c r="O51" s="236"/>
    </row>
    <row r="52" spans="1:15" x14ac:dyDescent="0.25">
      <c r="D52" s="236"/>
      <c r="E52" s="236"/>
      <c r="F52" s="259" t="s">
        <v>254</v>
      </c>
      <c r="G52" s="236"/>
      <c r="H52" s="236"/>
      <c r="I52" s="236"/>
      <c r="J52" s="236"/>
      <c r="K52" s="236"/>
      <c r="L52" s="236"/>
      <c r="M52" s="236"/>
      <c r="N52" s="236"/>
      <c r="O52" s="236"/>
    </row>
    <row r="53" spans="1:15" x14ac:dyDescent="0.25">
      <c r="D53" s="236"/>
      <c r="E53" s="236"/>
      <c r="F53" s="236"/>
      <c r="G53" s="236" t="s">
        <v>370</v>
      </c>
      <c r="H53" s="236"/>
      <c r="I53" s="236"/>
      <c r="J53" s="236"/>
      <c r="K53" s="265">
        <f>INDEX(tblSimulationOutcomes[Val::RepRateNomAnnuity],K$1)</f>
        <v>0</v>
      </c>
      <c r="L53" s="265">
        <f>INDEX(tblSimulationOutcomes[Val::RepRateNomAnnuity],L$1)</f>
        <v>0</v>
      </c>
      <c r="M53" s="266"/>
      <c r="N53" s="265">
        <f>INDEX(tblSimulationOutcomes[Val::RepRateNomAnnuity],N$1)</f>
        <v>0</v>
      </c>
      <c r="O53" s="236"/>
    </row>
    <row r="54" spans="1:15" x14ac:dyDescent="0.25">
      <c r="D54" s="236"/>
      <c r="E54" s="236"/>
      <c r="F54" s="236"/>
      <c r="G54" s="242" t="s">
        <v>372</v>
      </c>
      <c r="H54" s="242"/>
      <c r="I54" s="242"/>
      <c r="J54" s="242"/>
      <c r="K54" s="246"/>
      <c r="L54" s="267">
        <f>L53-$K53</f>
        <v>0</v>
      </c>
      <c r="M54" s="266"/>
      <c r="N54" s="267">
        <f>N53-$K53</f>
        <v>0</v>
      </c>
      <c r="O54" s="236"/>
    </row>
    <row r="55" spans="1:15" x14ac:dyDescent="0.25">
      <c r="D55" s="236"/>
      <c r="E55" s="236"/>
      <c r="F55" s="236"/>
      <c r="G55" s="242"/>
      <c r="H55" s="242"/>
      <c r="I55" s="242"/>
      <c r="J55" s="242"/>
      <c r="K55" s="246"/>
      <c r="L55" s="246"/>
      <c r="M55" s="246"/>
      <c r="N55" s="246"/>
      <c r="O55" s="236"/>
    </row>
    <row r="56" spans="1:15" hidden="1" x14ac:dyDescent="0.25">
      <c r="D56" s="236"/>
      <c r="E56" s="236"/>
      <c r="F56" s="236"/>
      <c r="G56" s="242" t="s">
        <v>364</v>
      </c>
      <c r="H56" s="242"/>
      <c r="I56" s="242"/>
      <c r="J56" s="242"/>
      <c r="K56" s="251"/>
      <c r="L56" s="268">
        <f>IF(INDEX(tblSimulationOutcomes[[ContrExit::RepRateNomAnnuity]:[ContrExit::RepRateNomAnnuity]],L$1)=0,INDEX(tblSimulationOutcomes[[Contr::RepRateNomAnnuity]:[Contr::RepRateNomAnnuity]],L$1), "-")</f>
        <v>0</v>
      </c>
      <c r="M56" s="269"/>
      <c r="N56" s="268">
        <f>IF(INDEX(tblSimulationOutcomes[[ContrExit::RepRateNomAnnuity]:[ContrExit::RepRateNomAnnuity]],N$1)=0,INDEX(tblSimulationOutcomes[[Contr::RepRateNomAnnuity]:[Contr::RepRateNomAnnuity]],N$1), "-")</f>
        <v>0</v>
      </c>
      <c r="O56" s="236"/>
    </row>
    <row r="57" spans="1:15" hidden="1" x14ac:dyDescent="0.25">
      <c r="D57" s="236"/>
      <c r="E57" s="236"/>
      <c r="F57" s="236"/>
      <c r="G57" s="242" t="s">
        <v>365</v>
      </c>
      <c r="H57" s="242"/>
      <c r="I57" s="242"/>
      <c r="J57" s="242"/>
      <c r="K57" s="251"/>
      <c r="L57" s="250">
        <f>IF(INDEX(tblSimulationOutcomes[[PAExit::RepRateNomAnnuity]:[PAExit::RepRateNomAnnuity]],L$1)=0,ROUND(12*INDEX(tblSimulationOutcomes[[PA::RepRateNomAnnuity]:[PA::RepRateNomAnnuity]],L$1),0), "-")</f>
        <v>0</v>
      </c>
      <c r="M57" s="251"/>
      <c r="N57" s="250">
        <f>IF(INDEX(tblSimulationOutcomes[[PAExit::RepRateNomAnnuity]:[PAExit::RepRateNomAnnuity]],N$1)=0,ROUND(12*INDEX(tblSimulationOutcomes[[PA::RepRateNomAnnuity]:[PA::RepRateNomAnnuity]],N$1),0), "-")</f>
        <v>0</v>
      </c>
      <c r="O57" s="236"/>
    </row>
    <row r="58" spans="1:15" hidden="1" x14ac:dyDescent="0.25">
      <c r="D58" s="236"/>
      <c r="E58" s="236"/>
      <c r="F58" s="236"/>
      <c r="G58" s="236"/>
      <c r="H58" s="236"/>
      <c r="I58" s="236"/>
      <c r="J58" s="242"/>
      <c r="K58" s="246"/>
      <c r="L58" s="246"/>
      <c r="M58" s="246"/>
      <c r="N58" s="246"/>
      <c r="O58" s="236"/>
    </row>
    <row r="59" spans="1:15" s="271" customFormat="1" x14ac:dyDescent="0.25">
      <c r="A59" s="270"/>
      <c r="B59" s="270"/>
      <c r="D59" s="272"/>
      <c r="E59" s="236"/>
      <c r="F59" s="259" t="s">
        <v>353</v>
      </c>
      <c r="G59" s="236"/>
      <c r="H59" s="236"/>
      <c r="I59" s="236"/>
      <c r="J59" s="236"/>
      <c r="K59" s="236"/>
      <c r="L59" s="236"/>
      <c r="M59" s="236"/>
      <c r="N59" s="236"/>
      <c r="O59" s="272"/>
    </row>
    <row r="60" spans="1:15" x14ac:dyDescent="0.25">
      <c r="D60" s="236"/>
      <c r="E60" s="236"/>
      <c r="F60" s="236"/>
      <c r="G60" s="236" t="s">
        <v>370</v>
      </c>
      <c r="H60" s="236"/>
      <c r="I60" s="236"/>
      <c r="J60" s="236"/>
      <c r="K60" s="265">
        <f>INDEX(tblSimulationOutcomes[Val::RepRateRealAnnuity],K$1)</f>
        <v>0</v>
      </c>
      <c r="L60" s="265">
        <f>INDEX(tblSimulationOutcomes[Val::RepRateRealAnnuity],L$1)</f>
        <v>0</v>
      </c>
      <c r="M60" s="266"/>
      <c r="N60" s="265">
        <f>INDEX(tblSimulationOutcomes[Val::RepRateRealAnnuity],N$1)</f>
        <v>0</v>
      </c>
      <c r="O60" s="236"/>
    </row>
    <row r="61" spans="1:15" x14ac:dyDescent="0.25">
      <c r="D61" s="236"/>
      <c r="E61" s="236"/>
      <c r="F61" s="236"/>
      <c r="G61" s="242" t="s">
        <v>372</v>
      </c>
      <c r="H61" s="242"/>
      <c r="I61" s="242"/>
      <c r="J61" s="242"/>
      <c r="K61" s="246"/>
      <c r="L61" s="267">
        <f>L60-$K60</f>
        <v>0</v>
      </c>
      <c r="M61" s="266"/>
      <c r="N61" s="267">
        <f>N60-$K60</f>
        <v>0</v>
      </c>
      <c r="O61" s="236"/>
    </row>
    <row r="62" spans="1:15" x14ac:dyDescent="0.25">
      <c r="D62" s="236"/>
      <c r="E62" s="236"/>
      <c r="F62" s="236"/>
      <c r="G62" s="242"/>
      <c r="H62" s="242"/>
      <c r="I62" s="242"/>
      <c r="J62" s="242"/>
      <c r="K62" s="246"/>
      <c r="L62" s="246"/>
      <c r="M62" s="246"/>
      <c r="N62" s="246"/>
      <c r="O62" s="236"/>
    </row>
    <row r="63" spans="1:15" hidden="1" x14ac:dyDescent="0.25">
      <c r="D63" s="236"/>
      <c r="E63" s="236"/>
      <c r="F63" s="236"/>
      <c r="G63" s="242" t="s">
        <v>364</v>
      </c>
      <c r="H63" s="242"/>
      <c r="I63" s="242"/>
      <c r="J63" s="242"/>
      <c r="K63" s="251"/>
      <c r="L63" s="256">
        <f>IF(INDEX(tblSimulationOutcomes[[ContrExit::RepRateRealAnnuity]:[ContrExit::RepRateRealAnnuity]],L$1)=0,INDEX(tblSimulationOutcomes[[Contr::RepRateRealAnnuity]:[Contr::RepRateRealAnnuity]],L$1), "-")</f>
        <v>0</v>
      </c>
      <c r="M63" s="257"/>
      <c r="N63" s="256">
        <f>IF(INDEX(tblSimulationOutcomes[[ContrExit::RepRateRealAnnuity]:[ContrExit::RepRateRealAnnuity]],N$1)=0,INDEX(tblSimulationOutcomes[[Contr::RepRateRealAnnuity]:[Contr::RepRateRealAnnuity]],N$1), "-")</f>
        <v>0</v>
      </c>
      <c r="O63" s="236"/>
    </row>
    <row r="64" spans="1:15" hidden="1" x14ac:dyDescent="0.25">
      <c r="D64" s="236"/>
      <c r="E64" s="236"/>
      <c r="F64" s="236"/>
      <c r="G64" s="242" t="s">
        <v>365</v>
      </c>
      <c r="H64" s="242"/>
      <c r="I64" s="242"/>
      <c r="J64" s="242"/>
      <c r="K64" s="251"/>
      <c r="L64" s="250">
        <f>IF(INDEX(tblSimulationOutcomes[[PAExit::RepRateRealAnnuity]:[PAExit::RepRateRealAnnuity]],L$1)=0,ROUND(12*INDEX(tblSimulationOutcomes[[PA::RepRateRealAnnuity]:[PA::RepRateRealAnnuity]],L$1),0), "-")</f>
        <v>0</v>
      </c>
      <c r="M64" s="251"/>
      <c r="N64" s="250">
        <f>IF(INDEX(tblSimulationOutcomes[[PAExit::RepRateRealAnnuity]:[PAExit::RepRateRealAnnuity]],N$1)=0,ROUND(12*INDEX(tblSimulationOutcomes[[PA::RepRateRealAnnuity]:[PA::RepRateRealAnnuity]],N$1),0), "-")</f>
        <v>0</v>
      </c>
      <c r="O64" s="236"/>
    </row>
    <row r="65" spans="4:15" hidden="1" x14ac:dyDescent="0.25">
      <c r="D65" s="236"/>
      <c r="E65" s="236"/>
      <c r="F65" s="236"/>
      <c r="G65" s="236"/>
      <c r="H65" s="236"/>
      <c r="I65" s="236"/>
      <c r="J65" s="236"/>
      <c r="K65" s="236"/>
      <c r="L65" s="236"/>
      <c r="M65" s="236"/>
      <c r="N65" s="236"/>
      <c r="O65" s="236"/>
    </row>
    <row r="66" spans="4:15" x14ac:dyDescent="0.25">
      <c r="D66" s="236"/>
      <c r="E66" s="236"/>
      <c r="F66" s="259" t="s">
        <v>255</v>
      </c>
      <c r="G66" s="236"/>
      <c r="H66" s="236"/>
      <c r="I66" s="236"/>
      <c r="J66" s="236"/>
      <c r="K66" s="236"/>
      <c r="L66" s="236"/>
      <c r="M66" s="236"/>
      <c r="N66" s="236"/>
      <c r="O66" s="236"/>
    </row>
    <row r="67" spans="4:15" x14ac:dyDescent="0.25">
      <c r="D67" s="236"/>
      <c r="E67" s="236"/>
      <c r="F67" s="236"/>
      <c r="G67" s="236" t="s">
        <v>370</v>
      </c>
      <c r="H67" s="236"/>
      <c r="I67" s="236"/>
      <c r="J67" s="236"/>
      <c r="K67" s="265">
        <f>INDEX(tblSimulationOutcomes[Val::RepRateNomDD],K$1)</f>
        <v>0</v>
      </c>
      <c r="L67" s="265">
        <f>INDEX(tblSimulationOutcomes[Val::RepRateNomDD],L$1)</f>
        <v>0</v>
      </c>
      <c r="M67" s="266"/>
      <c r="N67" s="265">
        <f>INDEX(tblSimulationOutcomes[Val::RepRateNomDD],N$1)</f>
        <v>0</v>
      </c>
      <c r="O67" s="236"/>
    </row>
    <row r="68" spans="4:15" x14ac:dyDescent="0.25">
      <c r="D68" s="236"/>
      <c r="E68" s="236"/>
      <c r="F68" s="236"/>
      <c r="G68" s="242" t="s">
        <v>372</v>
      </c>
      <c r="H68" s="242"/>
      <c r="I68" s="242"/>
      <c r="J68" s="242"/>
      <c r="K68" s="246"/>
      <c r="L68" s="267">
        <f>L67-$K67</f>
        <v>0</v>
      </c>
      <c r="M68" s="266"/>
      <c r="N68" s="267">
        <f>N67-$K67</f>
        <v>0</v>
      </c>
      <c r="O68" s="236"/>
    </row>
    <row r="69" spans="4:15" x14ac:dyDescent="0.25">
      <c r="D69" s="236"/>
      <c r="E69" s="236"/>
      <c r="F69" s="236"/>
      <c r="G69" s="242"/>
      <c r="H69" s="242"/>
      <c r="I69" s="242"/>
      <c r="J69" s="242"/>
      <c r="K69" s="246"/>
      <c r="L69" s="246"/>
      <c r="M69" s="246"/>
      <c r="N69" s="246"/>
      <c r="O69" s="236"/>
    </row>
    <row r="70" spans="4:15" hidden="1" x14ac:dyDescent="0.25">
      <c r="D70" s="236"/>
      <c r="E70" s="236"/>
      <c r="F70" s="236"/>
      <c r="G70" s="242" t="s">
        <v>364</v>
      </c>
      <c r="H70" s="242"/>
      <c r="I70" s="242"/>
      <c r="J70" s="242"/>
      <c r="K70" s="251"/>
      <c r="L70" s="256">
        <f>IF(INDEX(tblSimulationOutcomes[[ContrExit::RepRateNomDD]:[ContrExit::RepRateNomDD]],L$1)=0,INDEX(tblSimulationOutcomes[[Contr::RepRateNomDD]:[Contr::RepRateNomDD]],L$1), "-")</f>
        <v>0</v>
      </c>
      <c r="M70" s="257"/>
      <c r="N70" s="256">
        <f>IF(INDEX(tblSimulationOutcomes[[ContrExit::RepRateNomDD]:[ContrExit::RepRateNomDD]],N$1)=0,INDEX(tblSimulationOutcomes[[Contr::RepRateNomDD]:[Contr::RepRateNomDD]],N$1), "-")</f>
        <v>0</v>
      </c>
      <c r="O70" s="236"/>
    </row>
    <row r="71" spans="4:15" hidden="1" x14ac:dyDescent="0.25">
      <c r="D71" s="236"/>
      <c r="E71" s="236"/>
      <c r="F71" s="236"/>
      <c r="G71" s="242" t="s">
        <v>365</v>
      </c>
      <c r="H71" s="242"/>
      <c r="I71" s="242"/>
      <c r="J71" s="242"/>
      <c r="K71" s="251"/>
      <c r="L71" s="250">
        <f>IF(INDEX(tblSimulationOutcomes[[PAExit::RepRateNomDD]:[PAExit::RepRateNomDD]],L$1)=0,ROUND(12*INDEX(tblSimulationOutcomes[[PA::RepRateNomDD]:[PA::RepRateNomDD]],L$1),0), "-")</f>
        <v>0</v>
      </c>
      <c r="M71" s="251"/>
      <c r="N71" s="250">
        <f>IF(INDEX(tblSimulationOutcomes[[PAExit::PensionIncRealAnnuity]:[PAExit::PensionIncRealAnnuity]],N$1)=0,ROUND(12*INDEX(tblSimulationOutcomes[[PA::PensionIncRealAnnuity]:[PA::PensionIncRealAnnuity]],N$1),0), "-")</f>
        <v>0</v>
      </c>
      <c r="O71" s="236"/>
    </row>
    <row r="72" spans="4:15" hidden="1" x14ac:dyDescent="0.25">
      <c r="D72" s="236"/>
      <c r="E72" s="236"/>
      <c r="F72" s="236"/>
      <c r="G72" s="236"/>
      <c r="H72" s="236"/>
      <c r="I72" s="236"/>
      <c r="J72" s="236"/>
      <c r="K72" s="236"/>
      <c r="L72" s="236"/>
      <c r="M72" s="236"/>
      <c r="N72" s="236"/>
      <c r="O72" s="236"/>
    </row>
    <row r="73" spans="4:15" x14ac:dyDescent="0.25">
      <c r="D73" s="233"/>
      <c r="E73" s="233"/>
      <c r="F73" s="233"/>
      <c r="G73" s="233"/>
      <c r="H73" s="233"/>
      <c r="I73" s="233"/>
      <c r="J73" s="233"/>
      <c r="K73" s="233"/>
      <c r="L73" s="233"/>
      <c r="M73" s="233"/>
      <c r="N73" s="233"/>
      <c r="O73" s="233"/>
    </row>
    <row r="75" spans="4:15" x14ac:dyDescent="0.25">
      <c r="K75" s="273"/>
    </row>
    <row r="76" spans="4:15" ht="45" customHeight="1" x14ac:dyDescent="0.25"/>
    <row r="77" spans="4:15" x14ac:dyDescent="0.25">
      <c r="L77" s="274"/>
    </row>
    <row r="93" spans="6:31" ht="18.75" x14ac:dyDescent="0.3">
      <c r="F93" s="275" t="s">
        <v>135</v>
      </c>
      <c r="G93" s="275"/>
      <c r="H93" s="275"/>
      <c r="I93" s="275"/>
      <c r="J93" s="275"/>
      <c r="L93" s="276" t="s">
        <v>135</v>
      </c>
      <c r="M93" s="236"/>
      <c r="N93" s="236"/>
      <c r="O93" s="236"/>
      <c r="P93" s="236"/>
      <c r="Q93" s="236"/>
      <c r="R93" s="236"/>
      <c r="S93" s="236"/>
      <c r="T93" s="236"/>
      <c r="U93" s="236"/>
      <c r="V93" s="236"/>
      <c r="W93" s="236"/>
      <c r="X93" s="236"/>
      <c r="Y93" s="236"/>
      <c r="Z93" s="236"/>
      <c r="AA93" s="236"/>
      <c r="AB93" s="236"/>
      <c r="AC93" s="236"/>
      <c r="AD93" s="236"/>
      <c r="AE93" s="236"/>
    </row>
    <row r="94" spans="6:31" ht="18.75" x14ac:dyDescent="0.3">
      <c r="F94" s="275" t="s">
        <v>447</v>
      </c>
      <c r="G94" s="275"/>
      <c r="H94" s="275"/>
      <c r="I94" s="275"/>
      <c r="J94" s="275"/>
      <c r="L94" s="276" t="s">
        <v>448</v>
      </c>
      <c r="M94" s="236"/>
      <c r="N94" s="236"/>
      <c r="O94" s="236"/>
      <c r="P94" s="236"/>
      <c r="Q94" s="236"/>
      <c r="R94" s="236"/>
      <c r="S94" s="236"/>
      <c r="T94" s="236"/>
      <c r="U94" s="236"/>
      <c r="V94" s="236"/>
      <c r="W94" s="236"/>
      <c r="X94" s="236"/>
      <c r="Y94" s="236"/>
      <c r="Z94" s="236"/>
      <c r="AA94" s="236"/>
      <c r="AB94" s="236"/>
      <c r="AC94" s="236"/>
      <c r="AD94" s="236"/>
      <c r="AE94" s="236"/>
    </row>
    <row r="95" spans="6:31" ht="48.75" x14ac:dyDescent="0.25">
      <c r="F95" s="236" t="s">
        <v>346</v>
      </c>
      <c r="G95" s="252" t="s">
        <v>44</v>
      </c>
      <c r="H95" s="277" t="s">
        <v>265</v>
      </c>
      <c r="I95" s="277" t="s">
        <v>264</v>
      </c>
      <c r="J95" s="277" t="s">
        <v>45</v>
      </c>
      <c r="L95" s="334" t="s">
        <v>541</v>
      </c>
      <c r="M95" s="334" t="s">
        <v>257</v>
      </c>
      <c r="N95" s="334" t="s">
        <v>652</v>
      </c>
      <c r="O95" s="334" t="s">
        <v>262</v>
      </c>
      <c r="P95" s="334" t="s">
        <v>258</v>
      </c>
      <c r="Q95" s="334" t="s">
        <v>259</v>
      </c>
      <c r="R95" s="334" t="s">
        <v>260</v>
      </c>
      <c r="S95" s="334" t="s">
        <v>373</v>
      </c>
      <c r="T95" s="334" t="s">
        <v>650</v>
      </c>
      <c r="U95" s="334" t="s">
        <v>653</v>
      </c>
      <c r="V95" s="334" t="s">
        <v>533</v>
      </c>
      <c r="W95" s="334" t="s">
        <v>534</v>
      </c>
      <c r="X95" s="334" t="s">
        <v>691</v>
      </c>
      <c r="Y95" s="334" t="s">
        <v>692</v>
      </c>
      <c r="Z95" s="334" t="s">
        <v>693</v>
      </c>
      <c r="AA95" s="334" t="s">
        <v>694</v>
      </c>
      <c r="AB95" s="334" t="s">
        <v>695</v>
      </c>
      <c r="AC95" s="334" t="s">
        <v>696</v>
      </c>
      <c r="AD95" s="334" t="s">
        <v>697</v>
      </c>
      <c r="AE95" s="334" t="s">
        <v>266</v>
      </c>
    </row>
    <row r="96" spans="6:31" x14ac:dyDescent="0.25">
      <c r="F96" s="278">
        <f t="shared" ref="F96:F131" si="0">INDEX(ReportYTR,ROW()-ROW(F$95))</f>
        <v>35</v>
      </c>
      <c r="G96" s="279">
        <f>MMULT(INDEX(ReportAssetWeightsBaseline,ROW()-ROW(G$95),1):INDEX(ReportAssetWeightsBaseline,ROW()-ROW(G$95),NumberOfAssets),INT(INDEX(tblAssetMenuSpecs[IsEquities],1):(INDEX(tblAssetMenuSpecs[IsEquities],NumberOfAssets))))</f>
        <v>0</v>
      </c>
      <c r="H96" s="279">
        <f>MMULT(INDEX(ReportAssetWeightsBaseline,ROW()-ROW(H$95),1):INDEX(ReportAssetWeightsBaseline,ROW()-ROW(H$95),NumberOfAssets),INT(INDEX(tblAssetMenuSpecs[IsRealEstate],1):(INDEX(tblAssetMenuSpecs[IsRealEstate],NumberOfAssets))))</f>
        <v>0</v>
      </c>
      <c r="I96" s="279">
        <f>MMULT(INDEX(ReportAssetWeightsBaseline,ROW()-ROW(I$95),1):INDEX(ReportAssetWeightsBaseline,ROW()-ROW(I$95),NumberOfAssets),INT(INDEX(tblAssetMenuSpecs[IsAlternatives],1):(INDEX(tblAssetMenuSpecs[IsAlternatives],NumberOfAssets))))</f>
        <v>0</v>
      </c>
      <c r="J96" s="279">
        <f>MMULT(INDEX(ReportAssetWeightsBaseline,ROW()-ROW(J$95),1):INDEX(ReportAssetWeightsBaseline,ROW()-ROW(J$95),NumberOfAssets),INT(INDEX(tblAssetMenuSpecs[IsFixedIncome],1):(INDEX(tblAssetMenuSpecs[IsFixedIncome],NumberOfAssets))))</f>
        <v>1</v>
      </c>
      <c r="L96" s="280">
        <f>MMULT(INDEX(ReportAssetWeightsBaseline,ROW()-ROW(G$95),1):INDEX(ReportAssetWeightsBaseline,ROW()-ROW(G$95),NumberOfAssets),INT(INDEX(tblAssetMenuSpecs[Is Equities EU],1):(INDEX(tblAssetMenuSpecs[Is Equities EU],NumberOfAssets))))</f>
        <v>0</v>
      </c>
      <c r="M96" s="280">
        <f>MMULT(INDEX(ReportAssetWeightsBaseline,ROW()-ROW(H$95),1):INDEX(ReportAssetWeightsBaseline,ROW()-ROW(H$95),NumberOfAssets),INT(INDEX(tblAssetMenuSpecs[Is Equities US],1):(INDEX(tblAssetMenuSpecs[Is Equities US],NumberOfAssets))))</f>
        <v>0</v>
      </c>
      <c r="N96" s="280">
        <f>MMULT(INDEX(ReportAssetWeightsBaseline,ROW()-ROW(I$95),1):INDEX(ReportAssetWeightsBaseline,ROW()-ROW(I$95),NumberOfAssets),INT(INDEX(tblAssetMenuSpecs[Is Equities Other Developed Markets],1):(INDEX(tblAssetMenuSpecs[Is Equities Other Developed Markets],NumberOfAssets))))</f>
        <v>0</v>
      </c>
      <c r="O96" s="280">
        <f>MMULT(INDEX(ReportAssetWeightsBaseline,ROW()-ROW(J$95),1):INDEX(ReportAssetWeightsBaseline,ROW()-ROW(J$95),NumberOfAssets),INT(INDEX(tblAssetMenuSpecs[Is Equities Emerging Markets],1):(INDEX(tblAssetMenuSpecs[Is Equities Emerging Markets],NumberOfAssets))))</f>
        <v>0</v>
      </c>
      <c r="P96" s="280">
        <f>MMULT(INDEX(ReportAssetWeightsBaseline,ROW()-ROW(K$95),1):INDEX(ReportAssetWeightsBaseline,ROW()-ROW(K$95),NumberOfAssets),INT(INDEX(tblAssetMenuSpecs[Is Commodities],1):(INDEX(tblAssetMenuSpecs[Is Commodities],NumberOfAssets))))</f>
        <v>0</v>
      </c>
      <c r="Q96" s="280">
        <f>MMULT(INDEX(ReportAssetWeightsBaseline,ROW()-ROW(L$95),1):INDEX(ReportAssetWeightsBaseline,ROW()-ROW(L$95),NumberOfAssets),INT(INDEX(tblAssetMenuSpecs[Is Private Equity],1):(INDEX(tblAssetMenuSpecs[Is Private Equity],NumberOfAssets))))</f>
        <v>0</v>
      </c>
      <c r="R96" s="280">
        <f>MMULT(INDEX(ReportAssetWeightsBaseline,ROW()-ROW(M$95),1):INDEX(ReportAssetWeightsBaseline,ROW()-ROW(M$95),NumberOfAssets),INT(INDEX(tblAssetMenuSpecs[Is Hedge Funds],1):(INDEX(tblAssetMenuSpecs[Is Hedge Funds],NumberOfAssets))))</f>
        <v>0</v>
      </c>
      <c r="S96" s="280">
        <f>MMULT(INDEX(ReportAssetWeightsBaseline,ROW()-ROW(N$95),1):INDEX(ReportAssetWeightsBaseline,ROW()-ROW(N$95),NumberOfAssets),INT(INDEX(tblAssetMenuSpecs[Is Real Estate EU],1):(INDEX(tblAssetMenuSpecs[Is Real Estate EU],NumberOfAssets))))</f>
        <v>0</v>
      </c>
      <c r="T96" s="280">
        <f>MMULT(INDEX(ReportAssetWeightsBaseline,ROW()-ROW(O$95),1):INDEX(ReportAssetWeightsBaseline,ROW()-ROW(O$95),NumberOfAssets),INT(INDEX(tblAssetMenuSpecs[Is Real Estate US],1):(INDEX(tblAssetMenuSpecs[Is Real Estate US],NumberOfAssets))))</f>
        <v>0</v>
      </c>
      <c r="U96" s="280">
        <f>MMULT(INDEX(ReportAssetWeightsBaseline,ROW()-ROW(P$95),1):INDEX(ReportAssetWeightsBaseline,ROW()-ROW(P$95),NumberOfAssets),INT(INDEX(tblAssetMenuSpecs[Is Real Estate Other Developed Markets],1):(INDEX(tblAssetMenuSpecs[Is Real Estate Other Developed Markets],NumberOfAssets))))</f>
        <v>0</v>
      </c>
      <c r="V96" s="280">
        <f>MMULT(INDEX(ReportAssetWeightsBaseline,ROW()-ROW(Q$95),1):INDEX(ReportAssetWeightsBaseline,ROW()-ROW(Q$95),NumberOfAssets),INT(INDEX(tblAssetMenuSpecs[Is Real Estate Commercial EU (non-leveraged)],1):(INDEX(tblAssetMenuSpecs[Is Real Estate Commercial EU (non-leveraged)],NumberOfAssets))))</f>
        <v>0</v>
      </c>
      <c r="W96" s="280">
        <f>MMULT(INDEX(ReportAssetWeightsBaseline,ROW()-ROW(P$95),1):INDEX(ReportAssetWeightsBaseline,ROW()-ROW(P$95),NumberOfAssets),INT(INDEX(tblAssetMenuSpecs[Is Real Estate Residential EU (non-leveraged)],1):(INDEX(tblAssetMenuSpecs[Is Real Estate Residential EU (non-leveraged)],NumberOfAssets))))</f>
        <v>0</v>
      </c>
      <c r="X96" s="280">
        <f>MMULT(INDEX(ReportAssetWeightsBaseline,ROW()-ROW(Q$95),1):INDEX(ReportAssetWeightsBaseline,ROW()-ROW(Q$95),NumberOfAssets),INT(INDEX(tblAssetMenuSpecs[Is Government Bond EU],1):(INDEX(tblAssetMenuSpecs[Is Government Bond EU],NumberOfAssets))))</f>
        <v>0</v>
      </c>
      <c r="Y96" s="280">
        <f>MMULT(INDEX(ReportAssetWeightsBaseline,ROW()-ROW(R$95),1):INDEX(ReportAssetWeightsBaseline,ROW()-ROW(R$95),NumberOfAssets),INT(INDEX(tblAssetMenuSpecs[Is Government Bond US],1):(INDEX(tblAssetMenuSpecs[Is Government Bond US],NumberOfAssets))))</f>
        <v>0</v>
      </c>
      <c r="Z96" s="280">
        <f>MMULT(INDEX(ReportAssetWeightsBaseline,ROW()-ROW(S$95),1):INDEX(ReportAssetWeightsBaseline,ROW()-ROW(S$95),NumberOfAssets),INT(INDEX(tblAssetMenuSpecs[Is Government Bond Other Developed Markets],1):(INDEX(tblAssetMenuSpecs[Is Government Bond Other Developed Markets],NumberOfAssets))))</f>
        <v>0</v>
      </c>
      <c r="AA96" s="280">
        <f>MMULT(INDEX(ReportAssetWeightsBaseline,ROW()-ROW(T$95),1):INDEX(ReportAssetWeightsBaseline,ROW()-ROW(T$95),NumberOfAssets),INT(INDEX(tblAssetMenuSpecs[Is Government Bond Emerging Markets],1):(INDEX(tblAssetMenuSpecs[Is Government Bond Emerging Markets],NumberOfAssets))))</f>
        <v>0</v>
      </c>
      <c r="AB96" s="280">
        <f>MMULT(INDEX(ReportAssetWeightsBaseline,ROW()-ROW(W$95),1):INDEX(ReportAssetWeightsBaseline,ROW()-ROW(W$95),NumberOfAssets),INT(INDEX(tblAssetMenuSpecs[Is Corporate Bond],1):(INDEX(tblAssetMenuSpecs[Is Corporate Bond],NumberOfAssets))))</f>
        <v>0</v>
      </c>
      <c r="AC96" s="280">
        <f>MMULT(INDEX(ReportAssetWeightsBaseline,ROW()-ROW(X$95),1):INDEX(ReportAssetWeightsBaseline,ROW()-ROW(X$95),NumberOfAssets),INT(INDEX(tblAssetMenuSpecs[Is Corporate Bond Non-Financial],1):(INDEX(tblAssetMenuSpecs[Is Corporate Bond Non-Financial],NumberOfAssets))))</f>
        <v>0</v>
      </c>
      <c r="AD96" s="280">
        <f>MMULT(INDEX(ReportAssetWeightsBaseline,ROW()-ROW(Y$95),1):INDEX(ReportAssetWeightsBaseline,ROW()-ROW(Y$95),NumberOfAssets),INT(INDEX(tblAssetMenuSpecs[Is Corporate Bond Financial],1):(INDEX(tblAssetMenuSpecs[Is Corporate Bond Financial],NumberOfAssets))))</f>
        <v>0</v>
      </c>
      <c r="AE96" s="280">
        <f>MMULT(INDEX(ReportAssetWeightsBaseline,ROW()-ROW(X$95),1):INDEX(ReportAssetWeightsBaseline,ROW()-ROW(X$95),NumberOfAssets),INT(INDEX(tblAssetMenuSpecs[Is Cash and Deposits],1):(INDEX(tblAssetMenuSpecs[Is Cash and Deposits],NumberOfAssets))))</f>
        <v>1</v>
      </c>
    </row>
    <row r="97" spans="6:31" x14ac:dyDescent="0.25">
      <c r="F97" s="278">
        <f t="shared" si="0"/>
        <v>34</v>
      </c>
      <c r="G97" s="279">
        <f>MMULT(INDEX(ReportAssetWeightsBaseline,ROW()-ROW(G$95),1):INDEX(ReportAssetWeightsBaseline,ROW()-ROW(G$95),NumberOfAssets),INT(INDEX(tblAssetMenuSpecs[IsEquities],1):(INDEX(tblAssetMenuSpecs[IsEquities],NumberOfAssets))))</f>
        <v>0</v>
      </c>
      <c r="H97" s="279">
        <f>MMULT(INDEX(ReportAssetWeightsBaseline,ROW()-ROW(H$95),1):INDEX(ReportAssetWeightsBaseline,ROW()-ROW(H$95),NumberOfAssets),INT(INDEX(tblAssetMenuSpecs[IsRealEstate],1):(INDEX(tblAssetMenuSpecs[IsRealEstate],NumberOfAssets))))</f>
        <v>0</v>
      </c>
      <c r="I97" s="279">
        <f>MMULT(INDEX(ReportAssetWeightsBaseline,ROW()-ROW(I$95),1):INDEX(ReportAssetWeightsBaseline,ROW()-ROW(I$95),NumberOfAssets),INT(INDEX(tblAssetMenuSpecs[IsAlternatives],1):(INDEX(tblAssetMenuSpecs[IsAlternatives],NumberOfAssets))))</f>
        <v>0</v>
      </c>
      <c r="J97" s="279">
        <f>MMULT(INDEX(ReportAssetWeightsBaseline,ROW()-ROW(J$95),1):INDEX(ReportAssetWeightsBaseline,ROW()-ROW(J$95),NumberOfAssets),INT(INDEX(tblAssetMenuSpecs[IsFixedIncome],1):(INDEX(tblAssetMenuSpecs[IsFixedIncome],NumberOfAssets))))</f>
        <v>1</v>
      </c>
      <c r="L97" s="280">
        <f>MMULT(INDEX(ReportAssetWeightsBaseline,ROW()-ROW(G$95),1):INDEX(ReportAssetWeightsBaseline,ROW()-ROW(G$95),NumberOfAssets),INT(INDEX(tblAssetMenuSpecs[Is Equities EU],1):(INDEX(tblAssetMenuSpecs[Is Equities EU],NumberOfAssets))))</f>
        <v>0</v>
      </c>
      <c r="M97" s="280">
        <f>MMULT(INDEX(ReportAssetWeightsBaseline,ROW()-ROW(H$95),1):INDEX(ReportAssetWeightsBaseline,ROW()-ROW(H$95),NumberOfAssets),INT(INDEX(tblAssetMenuSpecs[Is Equities US],1):(INDEX(tblAssetMenuSpecs[Is Equities US],NumberOfAssets))))</f>
        <v>0</v>
      </c>
      <c r="N97" s="280">
        <f>MMULT(INDEX(ReportAssetWeightsBaseline,ROW()-ROW(I$95),1):INDEX(ReportAssetWeightsBaseline,ROW()-ROW(I$95),NumberOfAssets),INT(INDEX(tblAssetMenuSpecs[Is Equities Other Developed Markets],1):(INDEX(tblAssetMenuSpecs[Is Equities Other Developed Markets],NumberOfAssets))))</f>
        <v>0</v>
      </c>
      <c r="O97" s="280">
        <f>MMULT(INDEX(ReportAssetWeightsBaseline,ROW()-ROW(J$95),1):INDEX(ReportAssetWeightsBaseline,ROW()-ROW(J$95),NumberOfAssets),INT(INDEX(tblAssetMenuSpecs[Is Equities Emerging Markets],1):(INDEX(tblAssetMenuSpecs[Is Equities Emerging Markets],NumberOfAssets))))</f>
        <v>0</v>
      </c>
      <c r="P97" s="280">
        <f>MMULT(INDEX(ReportAssetWeightsBaseline,ROW()-ROW(K$95),1):INDEX(ReportAssetWeightsBaseline,ROW()-ROW(K$95),NumberOfAssets),INT(INDEX(tblAssetMenuSpecs[Is Commodities],1):(INDEX(tblAssetMenuSpecs[Is Commodities],NumberOfAssets))))</f>
        <v>0</v>
      </c>
      <c r="Q97" s="280">
        <f>MMULT(INDEX(ReportAssetWeightsBaseline,ROW()-ROW(L$95),1):INDEX(ReportAssetWeightsBaseline,ROW()-ROW(L$95),NumberOfAssets),INT(INDEX(tblAssetMenuSpecs[Is Private Equity],1):(INDEX(tblAssetMenuSpecs[Is Private Equity],NumberOfAssets))))</f>
        <v>0</v>
      </c>
      <c r="R97" s="280">
        <f>MMULT(INDEX(ReportAssetWeightsBaseline,ROW()-ROW(M$95),1):INDEX(ReportAssetWeightsBaseline,ROW()-ROW(M$95),NumberOfAssets),INT(INDEX(tblAssetMenuSpecs[Is Hedge Funds],1):(INDEX(tblAssetMenuSpecs[Is Hedge Funds],NumberOfAssets))))</f>
        <v>0</v>
      </c>
      <c r="S97" s="280">
        <f>MMULT(INDEX(ReportAssetWeightsBaseline,ROW()-ROW(N$95),1):INDEX(ReportAssetWeightsBaseline,ROW()-ROW(N$95),NumberOfAssets),INT(INDEX(tblAssetMenuSpecs[Is Real Estate EU],1):(INDEX(tblAssetMenuSpecs[Is Real Estate EU],NumberOfAssets))))</f>
        <v>0</v>
      </c>
      <c r="T97" s="280">
        <f>MMULT(INDEX(ReportAssetWeightsBaseline,ROW()-ROW(O$95),1):INDEX(ReportAssetWeightsBaseline,ROW()-ROW(O$95),NumberOfAssets),INT(INDEX(tblAssetMenuSpecs[Is Real Estate US],1):(INDEX(tblAssetMenuSpecs[Is Real Estate US],NumberOfAssets))))</f>
        <v>0</v>
      </c>
      <c r="U97" s="280">
        <f>MMULT(INDEX(ReportAssetWeightsBaseline,ROW()-ROW(P$95),1):INDEX(ReportAssetWeightsBaseline,ROW()-ROW(P$95),NumberOfAssets),INT(INDEX(tblAssetMenuSpecs[Is Real Estate Other Developed Markets],1):(INDEX(tblAssetMenuSpecs[Is Real Estate Other Developed Markets],NumberOfAssets))))</f>
        <v>0</v>
      </c>
      <c r="V97" s="280">
        <f>MMULT(INDEX(ReportAssetWeightsBaseline,ROW()-ROW(Q$95),1):INDEX(ReportAssetWeightsBaseline,ROW()-ROW(Q$95),NumberOfAssets),INT(INDEX(tblAssetMenuSpecs[Is Real Estate Commercial EU (non-leveraged)],1):(INDEX(tblAssetMenuSpecs[Is Real Estate Commercial EU (non-leveraged)],NumberOfAssets))))</f>
        <v>0</v>
      </c>
      <c r="W97" s="280">
        <f>MMULT(INDEX(ReportAssetWeightsBaseline,ROW()-ROW(P$95),1):INDEX(ReportAssetWeightsBaseline,ROW()-ROW(P$95),NumberOfAssets),INT(INDEX(tblAssetMenuSpecs[Is Real Estate Residential EU (non-leveraged)],1):(INDEX(tblAssetMenuSpecs[Is Real Estate Residential EU (non-leveraged)],NumberOfAssets))))</f>
        <v>0</v>
      </c>
      <c r="X97" s="280">
        <f>MMULT(INDEX(ReportAssetWeightsBaseline,ROW()-ROW(Q$95),1):INDEX(ReportAssetWeightsBaseline,ROW()-ROW(Q$95),NumberOfAssets),INT(INDEX(tblAssetMenuSpecs[Is Government Bond EU],1):(INDEX(tblAssetMenuSpecs[Is Government Bond EU],NumberOfAssets))))</f>
        <v>0</v>
      </c>
      <c r="Y97" s="280">
        <f>MMULT(INDEX(ReportAssetWeightsBaseline,ROW()-ROW(R$95),1):INDEX(ReportAssetWeightsBaseline,ROW()-ROW(R$95),NumberOfAssets),INT(INDEX(tblAssetMenuSpecs[Is Government Bond US],1):(INDEX(tblAssetMenuSpecs[Is Government Bond US],NumberOfAssets))))</f>
        <v>0</v>
      </c>
      <c r="Z97" s="280">
        <f>MMULT(INDEX(ReportAssetWeightsBaseline,ROW()-ROW(S$95),1):INDEX(ReportAssetWeightsBaseline,ROW()-ROW(S$95),NumberOfAssets),INT(INDEX(tblAssetMenuSpecs[Is Government Bond Other Developed Markets],1):(INDEX(tblAssetMenuSpecs[Is Government Bond Other Developed Markets],NumberOfAssets))))</f>
        <v>0</v>
      </c>
      <c r="AA97" s="280">
        <f>MMULT(INDEX(ReportAssetWeightsBaseline,ROW()-ROW(T$95),1):INDEX(ReportAssetWeightsBaseline,ROW()-ROW(T$95),NumberOfAssets),INT(INDEX(tblAssetMenuSpecs[Is Government Bond Emerging Markets],1):(INDEX(tblAssetMenuSpecs[Is Government Bond Emerging Markets],NumberOfAssets))))</f>
        <v>0</v>
      </c>
      <c r="AB97" s="280">
        <f>MMULT(INDEX(ReportAssetWeightsBaseline,ROW()-ROW(W$95),1):INDEX(ReportAssetWeightsBaseline,ROW()-ROW(W$95),NumberOfAssets),INT(INDEX(tblAssetMenuSpecs[Is Corporate Bond],1):(INDEX(tblAssetMenuSpecs[Is Corporate Bond],NumberOfAssets))))</f>
        <v>0</v>
      </c>
      <c r="AC97" s="280">
        <f>MMULT(INDEX(ReportAssetWeightsBaseline,ROW()-ROW(X$95),1):INDEX(ReportAssetWeightsBaseline,ROW()-ROW(X$95),NumberOfAssets),INT(INDEX(tblAssetMenuSpecs[Is Corporate Bond Non-Financial],1):(INDEX(tblAssetMenuSpecs[Is Corporate Bond Non-Financial],NumberOfAssets))))</f>
        <v>0</v>
      </c>
      <c r="AD97" s="280">
        <f>MMULT(INDEX(ReportAssetWeightsBaseline,ROW()-ROW(Y$95),1):INDEX(ReportAssetWeightsBaseline,ROW()-ROW(Y$95),NumberOfAssets),INT(INDEX(tblAssetMenuSpecs[Is Corporate Bond Financial],1):(INDEX(tblAssetMenuSpecs[Is Corporate Bond Financial],NumberOfAssets))))</f>
        <v>0</v>
      </c>
      <c r="AE97" s="280">
        <f>MMULT(INDEX(ReportAssetWeightsBaseline,ROW()-ROW(X$95),1):INDEX(ReportAssetWeightsBaseline,ROW()-ROW(X$95),NumberOfAssets),INT(INDEX(tblAssetMenuSpecs[Is Cash and Deposits],1):(INDEX(tblAssetMenuSpecs[Is Cash and Deposits],NumberOfAssets))))</f>
        <v>1</v>
      </c>
    </row>
    <row r="98" spans="6:31" x14ac:dyDescent="0.25">
      <c r="F98" s="278">
        <f t="shared" si="0"/>
        <v>33</v>
      </c>
      <c r="G98" s="279">
        <f>MMULT(INDEX(ReportAssetWeightsBaseline,ROW()-ROW(G$95),1):INDEX(ReportAssetWeightsBaseline,ROW()-ROW(G$95),NumberOfAssets),INT(INDEX(tblAssetMenuSpecs[IsEquities],1):(INDEX(tblAssetMenuSpecs[IsEquities],NumberOfAssets))))</f>
        <v>0</v>
      </c>
      <c r="H98" s="279">
        <f>MMULT(INDEX(ReportAssetWeightsBaseline,ROW()-ROW(H$95),1):INDEX(ReportAssetWeightsBaseline,ROW()-ROW(H$95),NumberOfAssets),INT(INDEX(tblAssetMenuSpecs[IsRealEstate],1):(INDEX(tblAssetMenuSpecs[IsRealEstate],NumberOfAssets))))</f>
        <v>0</v>
      </c>
      <c r="I98" s="279">
        <f>MMULT(INDEX(ReportAssetWeightsBaseline,ROW()-ROW(I$95),1):INDEX(ReportAssetWeightsBaseline,ROW()-ROW(I$95),NumberOfAssets),INT(INDEX(tblAssetMenuSpecs[IsAlternatives],1):(INDEX(tblAssetMenuSpecs[IsAlternatives],NumberOfAssets))))</f>
        <v>0</v>
      </c>
      <c r="J98" s="279">
        <f>MMULT(INDEX(ReportAssetWeightsBaseline,ROW()-ROW(J$95),1):INDEX(ReportAssetWeightsBaseline,ROW()-ROW(J$95),NumberOfAssets),INT(INDEX(tblAssetMenuSpecs[IsFixedIncome],1):(INDEX(tblAssetMenuSpecs[IsFixedIncome],NumberOfAssets))))</f>
        <v>1</v>
      </c>
      <c r="L98" s="280">
        <f>MMULT(INDEX(ReportAssetWeightsBaseline,ROW()-ROW(G$95),1):INDEX(ReportAssetWeightsBaseline,ROW()-ROW(G$95),NumberOfAssets),INT(INDEX(tblAssetMenuSpecs[Is Equities EU],1):(INDEX(tblAssetMenuSpecs[Is Equities EU],NumberOfAssets))))</f>
        <v>0</v>
      </c>
      <c r="M98" s="280">
        <f>MMULT(INDEX(ReportAssetWeightsBaseline,ROW()-ROW(H$95),1):INDEX(ReportAssetWeightsBaseline,ROW()-ROW(H$95),NumberOfAssets),INT(INDEX(tblAssetMenuSpecs[Is Equities US],1):(INDEX(tblAssetMenuSpecs[Is Equities US],NumberOfAssets))))</f>
        <v>0</v>
      </c>
      <c r="N98" s="280">
        <f>MMULT(INDEX(ReportAssetWeightsBaseline,ROW()-ROW(I$95),1):INDEX(ReportAssetWeightsBaseline,ROW()-ROW(I$95),NumberOfAssets),INT(INDEX(tblAssetMenuSpecs[Is Equities Other Developed Markets],1):(INDEX(tblAssetMenuSpecs[Is Equities Other Developed Markets],NumberOfAssets))))</f>
        <v>0</v>
      </c>
      <c r="O98" s="280">
        <f>MMULT(INDEX(ReportAssetWeightsBaseline,ROW()-ROW(J$95),1):INDEX(ReportAssetWeightsBaseline,ROW()-ROW(J$95),NumberOfAssets),INT(INDEX(tblAssetMenuSpecs[Is Equities Emerging Markets],1):(INDEX(tblAssetMenuSpecs[Is Equities Emerging Markets],NumberOfAssets))))</f>
        <v>0</v>
      </c>
      <c r="P98" s="280">
        <f>MMULT(INDEX(ReportAssetWeightsBaseline,ROW()-ROW(K$95),1):INDEX(ReportAssetWeightsBaseline,ROW()-ROW(K$95),NumberOfAssets),INT(INDEX(tblAssetMenuSpecs[Is Commodities],1):(INDEX(tblAssetMenuSpecs[Is Commodities],NumberOfAssets))))</f>
        <v>0</v>
      </c>
      <c r="Q98" s="280">
        <f>MMULT(INDEX(ReportAssetWeightsBaseline,ROW()-ROW(L$95),1):INDEX(ReportAssetWeightsBaseline,ROW()-ROW(L$95),NumberOfAssets),INT(INDEX(tblAssetMenuSpecs[Is Private Equity],1):(INDEX(tblAssetMenuSpecs[Is Private Equity],NumberOfAssets))))</f>
        <v>0</v>
      </c>
      <c r="R98" s="280">
        <f>MMULT(INDEX(ReportAssetWeightsBaseline,ROW()-ROW(M$95),1):INDEX(ReportAssetWeightsBaseline,ROW()-ROW(M$95),NumberOfAssets),INT(INDEX(tblAssetMenuSpecs[Is Hedge Funds],1):(INDEX(tblAssetMenuSpecs[Is Hedge Funds],NumberOfAssets))))</f>
        <v>0</v>
      </c>
      <c r="S98" s="280">
        <f>MMULT(INDEX(ReportAssetWeightsBaseline,ROW()-ROW(N$95),1):INDEX(ReportAssetWeightsBaseline,ROW()-ROW(N$95),NumberOfAssets),INT(INDEX(tblAssetMenuSpecs[Is Real Estate EU],1):(INDEX(tblAssetMenuSpecs[Is Real Estate EU],NumberOfAssets))))</f>
        <v>0</v>
      </c>
      <c r="T98" s="280">
        <f>MMULT(INDEX(ReportAssetWeightsBaseline,ROW()-ROW(O$95),1):INDEX(ReportAssetWeightsBaseline,ROW()-ROW(O$95),NumberOfAssets),INT(INDEX(tblAssetMenuSpecs[Is Real Estate US],1):(INDEX(tblAssetMenuSpecs[Is Real Estate US],NumberOfAssets))))</f>
        <v>0</v>
      </c>
      <c r="U98" s="280">
        <f>MMULT(INDEX(ReportAssetWeightsBaseline,ROW()-ROW(P$95),1):INDEX(ReportAssetWeightsBaseline,ROW()-ROW(P$95),NumberOfAssets),INT(INDEX(tblAssetMenuSpecs[Is Real Estate Other Developed Markets],1):(INDEX(tblAssetMenuSpecs[Is Real Estate Other Developed Markets],NumberOfAssets))))</f>
        <v>0</v>
      </c>
      <c r="V98" s="280">
        <f>MMULT(INDEX(ReportAssetWeightsBaseline,ROW()-ROW(Q$95),1):INDEX(ReportAssetWeightsBaseline,ROW()-ROW(Q$95),NumberOfAssets),INT(INDEX(tblAssetMenuSpecs[Is Real Estate Commercial EU (non-leveraged)],1):(INDEX(tblAssetMenuSpecs[Is Real Estate Commercial EU (non-leveraged)],NumberOfAssets))))</f>
        <v>0</v>
      </c>
      <c r="W98" s="280">
        <f>MMULT(INDEX(ReportAssetWeightsBaseline,ROW()-ROW(P$95),1):INDEX(ReportAssetWeightsBaseline,ROW()-ROW(P$95),NumberOfAssets),INT(INDEX(tblAssetMenuSpecs[Is Real Estate Residential EU (non-leveraged)],1):(INDEX(tblAssetMenuSpecs[Is Real Estate Residential EU (non-leveraged)],NumberOfAssets))))</f>
        <v>0</v>
      </c>
      <c r="X98" s="280">
        <f>MMULT(INDEX(ReportAssetWeightsBaseline,ROW()-ROW(Q$95),1):INDEX(ReportAssetWeightsBaseline,ROW()-ROW(Q$95),NumberOfAssets),INT(INDEX(tblAssetMenuSpecs[Is Government Bond EU],1):(INDEX(tblAssetMenuSpecs[Is Government Bond EU],NumberOfAssets))))</f>
        <v>0</v>
      </c>
      <c r="Y98" s="280">
        <f>MMULT(INDEX(ReportAssetWeightsBaseline,ROW()-ROW(R$95),1):INDEX(ReportAssetWeightsBaseline,ROW()-ROW(R$95),NumberOfAssets),INT(INDEX(tblAssetMenuSpecs[Is Government Bond US],1):(INDEX(tblAssetMenuSpecs[Is Government Bond US],NumberOfAssets))))</f>
        <v>0</v>
      </c>
      <c r="Z98" s="280">
        <f>MMULT(INDEX(ReportAssetWeightsBaseline,ROW()-ROW(S$95),1):INDEX(ReportAssetWeightsBaseline,ROW()-ROW(S$95),NumberOfAssets),INT(INDEX(tblAssetMenuSpecs[Is Government Bond Other Developed Markets],1):(INDEX(tblAssetMenuSpecs[Is Government Bond Other Developed Markets],NumberOfAssets))))</f>
        <v>0</v>
      </c>
      <c r="AA98" s="280">
        <f>MMULT(INDEX(ReportAssetWeightsBaseline,ROW()-ROW(T$95),1):INDEX(ReportAssetWeightsBaseline,ROW()-ROW(T$95),NumberOfAssets),INT(INDEX(tblAssetMenuSpecs[Is Government Bond Emerging Markets],1):(INDEX(tblAssetMenuSpecs[Is Government Bond Emerging Markets],NumberOfAssets))))</f>
        <v>0</v>
      </c>
      <c r="AB98" s="280">
        <f>MMULT(INDEX(ReportAssetWeightsBaseline,ROW()-ROW(W$95),1):INDEX(ReportAssetWeightsBaseline,ROW()-ROW(W$95),NumberOfAssets),INT(INDEX(tblAssetMenuSpecs[Is Corporate Bond],1):(INDEX(tblAssetMenuSpecs[Is Corporate Bond],NumberOfAssets))))</f>
        <v>0</v>
      </c>
      <c r="AC98" s="280">
        <f>MMULT(INDEX(ReportAssetWeightsBaseline,ROW()-ROW(X$95),1):INDEX(ReportAssetWeightsBaseline,ROW()-ROW(X$95),NumberOfAssets),INT(INDEX(tblAssetMenuSpecs[Is Corporate Bond Non-Financial],1):(INDEX(tblAssetMenuSpecs[Is Corporate Bond Non-Financial],NumberOfAssets))))</f>
        <v>0</v>
      </c>
      <c r="AD98" s="280">
        <f>MMULT(INDEX(ReportAssetWeightsBaseline,ROW()-ROW(Y$95),1):INDEX(ReportAssetWeightsBaseline,ROW()-ROW(Y$95),NumberOfAssets),INT(INDEX(tblAssetMenuSpecs[Is Corporate Bond Financial],1):(INDEX(tblAssetMenuSpecs[Is Corporate Bond Financial],NumberOfAssets))))</f>
        <v>0</v>
      </c>
      <c r="AE98" s="280">
        <f>MMULT(INDEX(ReportAssetWeightsBaseline,ROW()-ROW(X$95),1):INDEX(ReportAssetWeightsBaseline,ROW()-ROW(X$95),NumberOfAssets),INT(INDEX(tblAssetMenuSpecs[Is Cash and Deposits],1):(INDEX(tblAssetMenuSpecs[Is Cash and Deposits],NumberOfAssets))))</f>
        <v>1</v>
      </c>
    </row>
    <row r="99" spans="6:31" x14ac:dyDescent="0.25">
      <c r="F99" s="278">
        <f t="shared" si="0"/>
        <v>32</v>
      </c>
      <c r="G99" s="279">
        <f>MMULT(INDEX(ReportAssetWeightsBaseline,ROW()-ROW(G$95),1):INDEX(ReportAssetWeightsBaseline,ROW()-ROW(G$95),NumberOfAssets),INT(INDEX(tblAssetMenuSpecs[IsEquities],1):(INDEX(tblAssetMenuSpecs[IsEquities],NumberOfAssets))))</f>
        <v>0</v>
      </c>
      <c r="H99" s="279">
        <f>MMULT(INDEX(ReportAssetWeightsBaseline,ROW()-ROW(H$95),1):INDEX(ReportAssetWeightsBaseline,ROW()-ROW(H$95),NumberOfAssets),INT(INDEX(tblAssetMenuSpecs[IsRealEstate],1):(INDEX(tblAssetMenuSpecs[IsRealEstate],NumberOfAssets))))</f>
        <v>0</v>
      </c>
      <c r="I99" s="279">
        <f>MMULT(INDEX(ReportAssetWeightsBaseline,ROW()-ROW(I$95),1):INDEX(ReportAssetWeightsBaseline,ROW()-ROW(I$95),NumberOfAssets),INT(INDEX(tblAssetMenuSpecs[IsAlternatives],1):(INDEX(tblAssetMenuSpecs[IsAlternatives],NumberOfAssets))))</f>
        <v>0</v>
      </c>
      <c r="J99" s="279">
        <f>MMULT(INDEX(ReportAssetWeightsBaseline,ROW()-ROW(J$95),1):INDEX(ReportAssetWeightsBaseline,ROW()-ROW(J$95),NumberOfAssets),INT(INDEX(tblAssetMenuSpecs[IsFixedIncome],1):(INDEX(tblAssetMenuSpecs[IsFixedIncome],NumberOfAssets))))</f>
        <v>1</v>
      </c>
      <c r="L99" s="280">
        <f>MMULT(INDEX(ReportAssetWeightsBaseline,ROW()-ROW(G$95),1):INDEX(ReportAssetWeightsBaseline,ROW()-ROW(G$95),NumberOfAssets),INT(INDEX(tblAssetMenuSpecs[Is Equities EU],1):(INDEX(tblAssetMenuSpecs[Is Equities EU],NumberOfAssets))))</f>
        <v>0</v>
      </c>
      <c r="M99" s="280">
        <f>MMULT(INDEX(ReportAssetWeightsBaseline,ROW()-ROW(H$95),1):INDEX(ReportAssetWeightsBaseline,ROW()-ROW(H$95),NumberOfAssets),INT(INDEX(tblAssetMenuSpecs[Is Equities US],1):(INDEX(tblAssetMenuSpecs[Is Equities US],NumberOfAssets))))</f>
        <v>0</v>
      </c>
      <c r="N99" s="280">
        <f>MMULT(INDEX(ReportAssetWeightsBaseline,ROW()-ROW(I$95),1):INDEX(ReportAssetWeightsBaseline,ROW()-ROW(I$95),NumberOfAssets),INT(INDEX(tblAssetMenuSpecs[Is Equities Other Developed Markets],1):(INDEX(tblAssetMenuSpecs[Is Equities Other Developed Markets],NumberOfAssets))))</f>
        <v>0</v>
      </c>
      <c r="O99" s="280">
        <f>MMULT(INDEX(ReportAssetWeightsBaseline,ROW()-ROW(J$95),1):INDEX(ReportAssetWeightsBaseline,ROW()-ROW(J$95),NumberOfAssets),INT(INDEX(tblAssetMenuSpecs[Is Equities Emerging Markets],1):(INDEX(tblAssetMenuSpecs[Is Equities Emerging Markets],NumberOfAssets))))</f>
        <v>0</v>
      </c>
      <c r="P99" s="280">
        <f>MMULT(INDEX(ReportAssetWeightsBaseline,ROW()-ROW(K$95),1):INDEX(ReportAssetWeightsBaseline,ROW()-ROW(K$95),NumberOfAssets),INT(INDEX(tblAssetMenuSpecs[Is Commodities],1):(INDEX(tblAssetMenuSpecs[Is Commodities],NumberOfAssets))))</f>
        <v>0</v>
      </c>
      <c r="Q99" s="280">
        <f>MMULT(INDEX(ReportAssetWeightsBaseline,ROW()-ROW(L$95),1):INDEX(ReportAssetWeightsBaseline,ROW()-ROW(L$95),NumberOfAssets),INT(INDEX(tblAssetMenuSpecs[Is Private Equity],1):(INDEX(tblAssetMenuSpecs[Is Private Equity],NumberOfAssets))))</f>
        <v>0</v>
      </c>
      <c r="R99" s="280">
        <f>MMULT(INDEX(ReportAssetWeightsBaseline,ROW()-ROW(M$95),1):INDEX(ReportAssetWeightsBaseline,ROW()-ROW(M$95),NumberOfAssets),INT(INDEX(tblAssetMenuSpecs[Is Hedge Funds],1):(INDEX(tblAssetMenuSpecs[Is Hedge Funds],NumberOfAssets))))</f>
        <v>0</v>
      </c>
      <c r="S99" s="280">
        <f>MMULT(INDEX(ReportAssetWeightsBaseline,ROW()-ROW(N$95),1):INDEX(ReportAssetWeightsBaseline,ROW()-ROW(N$95),NumberOfAssets),INT(INDEX(tblAssetMenuSpecs[Is Real Estate EU],1):(INDEX(tblAssetMenuSpecs[Is Real Estate EU],NumberOfAssets))))</f>
        <v>0</v>
      </c>
      <c r="T99" s="280">
        <f>MMULT(INDEX(ReportAssetWeightsBaseline,ROW()-ROW(O$95),1):INDEX(ReportAssetWeightsBaseline,ROW()-ROW(O$95),NumberOfAssets),INT(INDEX(tblAssetMenuSpecs[Is Real Estate US],1):(INDEX(tblAssetMenuSpecs[Is Real Estate US],NumberOfAssets))))</f>
        <v>0</v>
      </c>
      <c r="U99" s="280">
        <f>MMULT(INDEX(ReportAssetWeightsBaseline,ROW()-ROW(P$95),1):INDEX(ReportAssetWeightsBaseline,ROW()-ROW(P$95),NumberOfAssets),INT(INDEX(tblAssetMenuSpecs[Is Real Estate Other Developed Markets],1):(INDEX(tblAssetMenuSpecs[Is Real Estate Other Developed Markets],NumberOfAssets))))</f>
        <v>0</v>
      </c>
      <c r="V99" s="280">
        <f>MMULT(INDEX(ReportAssetWeightsBaseline,ROW()-ROW(Q$95),1):INDEX(ReportAssetWeightsBaseline,ROW()-ROW(Q$95),NumberOfAssets),INT(INDEX(tblAssetMenuSpecs[Is Real Estate Commercial EU (non-leveraged)],1):(INDEX(tblAssetMenuSpecs[Is Real Estate Commercial EU (non-leveraged)],NumberOfAssets))))</f>
        <v>0</v>
      </c>
      <c r="W99" s="280">
        <f>MMULT(INDEX(ReportAssetWeightsBaseline,ROW()-ROW(P$95),1):INDEX(ReportAssetWeightsBaseline,ROW()-ROW(P$95),NumberOfAssets),INT(INDEX(tblAssetMenuSpecs[Is Real Estate Residential EU (non-leveraged)],1):(INDEX(tblAssetMenuSpecs[Is Real Estate Residential EU (non-leveraged)],NumberOfAssets))))</f>
        <v>0</v>
      </c>
      <c r="X99" s="280">
        <f>MMULT(INDEX(ReportAssetWeightsBaseline,ROW()-ROW(Q$95),1):INDEX(ReportAssetWeightsBaseline,ROW()-ROW(Q$95),NumberOfAssets),INT(INDEX(tblAssetMenuSpecs[Is Government Bond EU],1):(INDEX(tblAssetMenuSpecs[Is Government Bond EU],NumberOfAssets))))</f>
        <v>0</v>
      </c>
      <c r="Y99" s="280">
        <f>MMULT(INDEX(ReportAssetWeightsBaseline,ROW()-ROW(R$95),1):INDEX(ReportAssetWeightsBaseline,ROW()-ROW(R$95),NumberOfAssets),INT(INDEX(tblAssetMenuSpecs[Is Government Bond US],1):(INDEX(tblAssetMenuSpecs[Is Government Bond US],NumberOfAssets))))</f>
        <v>0</v>
      </c>
      <c r="Z99" s="280">
        <f>MMULT(INDEX(ReportAssetWeightsBaseline,ROW()-ROW(S$95),1):INDEX(ReportAssetWeightsBaseline,ROW()-ROW(S$95),NumberOfAssets),INT(INDEX(tblAssetMenuSpecs[Is Government Bond Other Developed Markets],1):(INDEX(tblAssetMenuSpecs[Is Government Bond Other Developed Markets],NumberOfAssets))))</f>
        <v>0</v>
      </c>
      <c r="AA99" s="280">
        <f>MMULT(INDEX(ReportAssetWeightsBaseline,ROW()-ROW(T$95),1):INDEX(ReportAssetWeightsBaseline,ROW()-ROW(T$95),NumberOfAssets),INT(INDEX(tblAssetMenuSpecs[Is Government Bond Emerging Markets],1):(INDEX(tblAssetMenuSpecs[Is Government Bond Emerging Markets],NumberOfAssets))))</f>
        <v>0</v>
      </c>
      <c r="AB99" s="280">
        <f>MMULT(INDEX(ReportAssetWeightsBaseline,ROW()-ROW(W$95),1):INDEX(ReportAssetWeightsBaseline,ROW()-ROW(W$95),NumberOfAssets),INT(INDEX(tblAssetMenuSpecs[Is Corporate Bond],1):(INDEX(tblAssetMenuSpecs[Is Corporate Bond],NumberOfAssets))))</f>
        <v>0</v>
      </c>
      <c r="AC99" s="280">
        <f>MMULT(INDEX(ReportAssetWeightsBaseline,ROW()-ROW(X$95),1):INDEX(ReportAssetWeightsBaseline,ROW()-ROW(X$95),NumberOfAssets),INT(INDEX(tblAssetMenuSpecs[Is Corporate Bond Non-Financial],1):(INDEX(tblAssetMenuSpecs[Is Corporate Bond Non-Financial],NumberOfAssets))))</f>
        <v>0</v>
      </c>
      <c r="AD99" s="280">
        <f>MMULT(INDEX(ReportAssetWeightsBaseline,ROW()-ROW(Y$95),1):INDEX(ReportAssetWeightsBaseline,ROW()-ROW(Y$95),NumberOfAssets),INT(INDEX(tblAssetMenuSpecs[Is Corporate Bond Financial],1):(INDEX(tblAssetMenuSpecs[Is Corporate Bond Financial],NumberOfAssets))))</f>
        <v>0</v>
      </c>
      <c r="AE99" s="280">
        <f>MMULT(INDEX(ReportAssetWeightsBaseline,ROW()-ROW(X$95),1):INDEX(ReportAssetWeightsBaseline,ROW()-ROW(X$95),NumberOfAssets),INT(INDEX(tblAssetMenuSpecs[Is Cash and Deposits],1):(INDEX(tblAssetMenuSpecs[Is Cash and Deposits],NumberOfAssets))))</f>
        <v>1</v>
      </c>
    </row>
    <row r="100" spans="6:31" x14ac:dyDescent="0.25">
      <c r="F100" s="278">
        <f t="shared" si="0"/>
        <v>31</v>
      </c>
      <c r="G100" s="279">
        <f>MMULT(INDEX(ReportAssetWeightsBaseline,ROW()-ROW(G$95),1):INDEX(ReportAssetWeightsBaseline,ROW()-ROW(G$95),NumberOfAssets),INT(INDEX(tblAssetMenuSpecs[IsEquities],1):(INDEX(tblAssetMenuSpecs[IsEquities],NumberOfAssets))))</f>
        <v>0</v>
      </c>
      <c r="H100" s="279">
        <f>MMULT(INDEX(ReportAssetWeightsBaseline,ROW()-ROW(H$95),1):INDEX(ReportAssetWeightsBaseline,ROW()-ROW(H$95),NumberOfAssets),INT(INDEX(tblAssetMenuSpecs[IsRealEstate],1):(INDEX(tblAssetMenuSpecs[IsRealEstate],NumberOfAssets))))</f>
        <v>0</v>
      </c>
      <c r="I100" s="279">
        <f>MMULT(INDEX(ReportAssetWeightsBaseline,ROW()-ROW(I$95),1):INDEX(ReportAssetWeightsBaseline,ROW()-ROW(I$95),NumberOfAssets),INT(INDEX(tblAssetMenuSpecs[IsAlternatives],1):(INDEX(tblAssetMenuSpecs[IsAlternatives],NumberOfAssets))))</f>
        <v>0</v>
      </c>
      <c r="J100" s="279">
        <f>MMULT(INDEX(ReportAssetWeightsBaseline,ROW()-ROW(J$95),1):INDEX(ReportAssetWeightsBaseline,ROW()-ROW(J$95),NumberOfAssets),INT(INDEX(tblAssetMenuSpecs[IsFixedIncome],1):(INDEX(tblAssetMenuSpecs[IsFixedIncome],NumberOfAssets))))</f>
        <v>1</v>
      </c>
      <c r="L100" s="280">
        <f>MMULT(INDEX(ReportAssetWeightsBaseline,ROW()-ROW(G$95),1):INDEX(ReportAssetWeightsBaseline,ROW()-ROW(G$95),NumberOfAssets),INT(INDEX(tblAssetMenuSpecs[Is Equities EU],1):(INDEX(tblAssetMenuSpecs[Is Equities EU],NumberOfAssets))))</f>
        <v>0</v>
      </c>
      <c r="M100" s="280">
        <f>MMULT(INDEX(ReportAssetWeightsBaseline,ROW()-ROW(H$95),1):INDEX(ReportAssetWeightsBaseline,ROW()-ROW(H$95),NumberOfAssets),INT(INDEX(tblAssetMenuSpecs[Is Equities US],1):(INDEX(tblAssetMenuSpecs[Is Equities US],NumberOfAssets))))</f>
        <v>0</v>
      </c>
      <c r="N100" s="280">
        <f>MMULT(INDEX(ReportAssetWeightsBaseline,ROW()-ROW(I$95),1):INDEX(ReportAssetWeightsBaseline,ROW()-ROW(I$95),NumberOfAssets),INT(INDEX(tblAssetMenuSpecs[Is Equities Other Developed Markets],1):(INDEX(tblAssetMenuSpecs[Is Equities Other Developed Markets],NumberOfAssets))))</f>
        <v>0</v>
      </c>
      <c r="O100" s="280">
        <f>MMULT(INDEX(ReportAssetWeightsBaseline,ROW()-ROW(J$95),1):INDEX(ReportAssetWeightsBaseline,ROW()-ROW(J$95),NumberOfAssets),INT(INDEX(tblAssetMenuSpecs[Is Equities Emerging Markets],1):(INDEX(tblAssetMenuSpecs[Is Equities Emerging Markets],NumberOfAssets))))</f>
        <v>0</v>
      </c>
      <c r="P100" s="280">
        <f>MMULT(INDEX(ReportAssetWeightsBaseline,ROW()-ROW(K$95),1):INDEX(ReportAssetWeightsBaseline,ROW()-ROW(K$95),NumberOfAssets),INT(INDEX(tblAssetMenuSpecs[Is Commodities],1):(INDEX(tblAssetMenuSpecs[Is Commodities],NumberOfAssets))))</f>
        <v>0</v>
      </c>
      <c r="Q100" s="280">
        <f>MMULT(INDEX(ReportAssetWeightsBaseline,ROW()-ROW(L$95),1):INDEX(ReportAssetWeightsBaseline,ROW()-ROW(L$95),NumberOfAssets),INT(INDEX(tblAssetMenuSpecs[Is Private Equity],1):(INDEX(tblAssetMenuSpecs[Is Private Equity],NumberOfAssets))))</f>
        <v>0</v>
      </c>
      <c r="R100" s="280">
        <f>MMULT(INDEX(ReportAssetWeightsBaseline,ROW()-ROW(M$95),1):INDEX(ReportAssetWeightsBaseline,ROW()-ROW(M$95),NumberOfAssets),INT(INDEX(tblAssetMenuSpecs[Is Hedge Funds],1):(INDEX(tblAssetMenuSpecs[Is Hedge Funds],NumberOfAssets))))</f>
        <v>0</v>
      </c>
      <c r="S100" s="280">
        <f>MMULT(INDEX(ReportAssetWeightsBaseline,ROW()-ROW(N$95),1):INDEX(ReportAssetWeightsBaseline,ROW()-ROW(N$95),NumberOfAssets),INT(INDEX(tblAssetMenuSpecs[Is Real Estate EU],1):(INDEX(tblAssetMenuSpecs[Is Real Estate EU],NumberOfAssets))))</f>
        <v>0</v>
      </c>
      <c r="T100" s="280">
        <f>MMULT(INDEX(ReportAssetWeightsBaseline,ROW()-ROW(O$95),1):INDEX(ReportAssetWeightsBaseline,ROW()-ROW(O$95),NumberOfAssets),INT(INDEX(tblAssetMenuSpecs[Is Real Estate US],1):(INDEX(tblAssetMenuSpecs[Is Real Estate US],NumberOfAssets))))</f>
        <v>0</v>
      </c>
      <c r="U100" s="280">
        <f>MMULT(INDEX(ReportAssetWeightsBaseline,ROW()-ROW(P$95),1):INDEX(ReportAssetWeightsBaseline,ROW()-ROW(P$95),NumberOfAssets),INT(INDEX(tblAssetMenuSpecs[Is Real Estate Other Developed Markets],1):(INDEX(tblAssetMenuSpecs[Is Real Estate Other Developed Markets],NumberOfAssets))))</f>
        <v>0</v>
      </c>
      <c r="V100" s="280">
        <f>MMULT(INDEX(ReportAssetWeightsBaseline,ROW()-ROW(Q$95),1):INDEX(ReportAssetWeightsBaseline,ROW()-ROW(Q$95),NumberOfAssets),INT(INDEX(tblAssetMenuSpecs[Is Real Estate Commercial EU (non-leveraged)],1):(INDEX(tblAssetMenuSpecs[Is Real Estate Commercial EU (non-leveraged)],NumberOfAssets))))</f>
        <v>0</v>
      </c>
      <c r="W100" s="280">
        <f>MMULT(INDEX(ReportAssetWeightsBaseline,ROW()-ROW(P$95),1):INDEX(ReportAssetWeightsBaseline,ROW()-ROW(P$95),NumberOfAssets),INT(INDEX(tblAssetMenuSpecs[Is Real Estate Residential EU (non-leveraged)],1):(INDEX(tblAssetMenuSpecs[Is Real Estate Residential EU (non-leveraged)],NumberOfAssets))))</f>
        <v>0</v>
      </c>
      <c r="X100" s="280">
        <f>MMULT(INDEX(ReportAssetWeightsBaseline,ROW()-ROW(Q$95),1):INDEX(ReportAssetWeightsBaseline,ROW()-ROW(Q$95),NumberOfAssets),INT(INDEX(tblAssetMenuSpecs[Is Government Bond EU],1):(INDEX(tblAssetMenuSpecs[Is Government Bond EU],NumberOfAssets))))</f>
        <v>0</v>
      </c>
      <c r="Y100" s="280">
        <f>MMULT(INDEX(ReportAssetWeightsBaseline,ROW()-ROW(R$95),1):INDEX(ReportAssetWeightsBaseline,ROW()-ROW(R$95),NumberOfAssets),INT(INDEX(tblAssetMenuSpecs[Is Government Bond US],1):(INDEX(tblAssetMenuSpecs[Is Government Bond US],NumberOfAssets))))</f>
        <v>0</v>
      </c>
      <c r="Z100" s="280">
        <f>MMULT(INDEX(ReportAssetWeightsBaseline,ROW()-ROW(S$95),1):INDEX(ReportAssetWeightsBaseline,ROW()-ROW(S$95),NumberOfAssets),INT(INDEX(tblAssetMenuSpecs[Is Government Bond Other Developed Markets],1):(INDEX(tblAssetMenuSpecs[Is Government Bond Other Developed Markets],NumberOfAssets))))</f>
        <v>0</v>
      </c>
      <c r="AA100" s="280">
        <f>MMULT(INDEX(ReportAssetWeightsBaseline,ROW()-ROW(T$95),1):INDEX(ReportAssetWeightsBaseline,ROW()-ROW(T$95),NumberOfAssets),INT(INDEX(tblAssetMenuSpecs[Is Government Bond Emerging Markets],1):(INDEX(tblAssetMenuSpecs[Is Government Bond Emerging Markets],NumberOfAssets))))</f>
        <v>0</v>
      </c>
      <c r="AB100" s="280">
        <f>MMULT(INDEX(ReportAssetWeightsBaseline,ROW()-ROW(W$95),1):INDEX(ReportAssetWeightsBaseline,ROW()-ROW(W$95),NumberOfAssets),INT(INDEX(tblAssetMenuSpecs[Is Corporate Bond],1):(INDEX(tblAssetMenuSpecs[Is Corporate Bond],NumberOfAssets))))</f>
        <v>0</v>
      </c>
      <c r="AC100" s="280">
        <f>MMULT(INDEX(ReportAssetWeightsBaseline,ROW()-ROW(X$95),1):INDEX(ReportAssetWeightsBaseline,ROW()-ROW(X$95),NumberOfAssets),INT(INDEX(tblAssetMenuSpecs[Is Corporate Bond Non-Financial],1):(INDEX(tblAssetMenuSpecs[Is Corporate Bond Non-Financial],NumberOfAssets))))</f>
        <v>0</v>
      </c>
      <c r="AD100" s="280">
        <f>MMULT(INDEX(ReportAssetWeightsBaseline,ROW()-ROW(Y$95),1):INDEX(ReportAssetWeightsBaseline,ROW()-ROW(Y$95),NumberOfAssets),INT(INDEX(tblAssetMenuSpecs[Is Corporate Bond Financial],1):(INDEX(tblAssetMenuSpecs[Is Corporate Bond Financial],NumberOfAssets))))</f>
        <v>0</v>
      </c>
      <c r="AE100" s="280">
        <f>MMULT(INDEX(ReportAssetWeightsBaseline,ROW()-ROW(X$95),1):INDEX(ReportAssetWeightsBaseline,ROW()-ROW(X$95),NumberOfAssets),INT(INDEX(tblAssetMenuSpecs[Is Cash and Deposits],1):(INDEX(tblAssetMenuSpecs[Is Cash and Deposits],NumberOfAssets))))</f>
        <v>1</v>
      </c>
    </row>
    <row r="101" spans="6:31" x14ac:dyDescent="0.25">
      <c r="F101" s="278">
        <f t="shared" si="0"/>
        <v>30</v>
      </c>
      <c r="G101" s="279">
        <f>MMULT(INDEX(ReportAssetWeightsBaseline,ROW()-ROW(G$95),1):INDEX(ReportAssetWeightsBaseline,ROW()-ROW(G$95),NumberOfAssets),INT(INDEX(tblAssetMenuSpecs[IsEquities],1):(INDEX(tblAssetMenuSpecs[IsEquities],NumberOfAssets))))</f>
        <v>0</v>
      </c>
      <c r="H101" s="279">
        <f>MMULT(INDEX(ReportAssetWeightsBaseline,ROW()-ROW(H$95),1):INDEX(ReportAssetWeightsBaseline,ROW()-ROW(H$95),NumberOfAssets),INT(INDEX(tblAssetMenuSpecs[IsRealEstate],1):(INDEX(tblAssetMenuSpecs[IsRealEstate],NumberOfAssets))))</f>
        <v>0</v>
      </c>
      <c r="I101" s="279">
        <f>MMULT(INDEX(ReportAssetWeightsBaseline,ROW()-ROW(I$95),1):INDEX(ReportAssetWeightsBaseline,ROW()-ROW(I$95),NumberOfAssets),INT(INDEX(tblAssetMenuSpecs[IsAlternatives],1):(INDEX(tblAssetMenuSpecs[IsAlternatives],NumberOfAssets))))</f>
        <v>0</v>
      </c>
      <c r="J101" s="279">
        <f>MMULT(INDEX(ReportAssetWeightsBaseline,ROW()-ROW(J$95),1):INDEX(ReportAssetWeightsBaseline,ROW()-ROW(J$95),NumberOfAssets),INT(INDEX(tblAssetMenuSpecs[IsFixedIncome],1):(INDEX(tblAssetMenuSpecs[IsFixedIncome],NumberOfAssets))))</f>
        <v>1</v>
      </c>
      <c r="L101" s="280">
        <f>MMULT(INDEX(ReportAssetWeightsBaseline,ROW()-ROW(G$95),1):INDEX(ReportAssetWeightsBaseline,ROW()-ROW(G$95),NumberOfAssets),INT(INDEX(tblAssetMenuSpecs[Is Equities EU],1):(INDEX(tblAssetMenuSpecs[Is Equities EU],NumberOfAssets))))</f>
        <v>0</v>
      </c>
      <c r="M101" s="280">
        <f>MMULT(INDEX(ReportAssetWeightsBaseline,ROW()-ROW(H$95),1):INDEX(ReportAssetWeightsBaseline,ROW()-ROW(H$95),NumberOfAssets),INT(INDEX(tblAssetMenuSpecs[Is Equities US],1):(INDEX(tblAssetMenuSpecs[Is Equities US],NumberOfAssets))))</f>
        <v>0</v>
      </c>
      <c r="N101" s="280">
        <f>MMULT(INDEX(ReportAssetWeightsBaseline,ROW()-ROW(I$95),1):INDEX(ReportAssetWeightsBaseline,ROW()-ROW(I$95),NumberOfAssets),INT(INDEX(tblAssetMenuSpecs[Is Equities Other Developed Markets],1):(INDEX(tblAssetMenuSpecs[Is Equities Other Developed Markets],NumberOfAssets))))</f>
        <v>0</v>
      </c>
      <c r="O101" s="280">
        <f>MMULT(INDEX(ReportAssetWeightsBaseline,ROW()-ROW(J$95),1):INDEX(ReportAssetWeightsBaseline,ROW()-ROW(J$95),NumberOfAssets),INT(INDEX(tblAssetMenuSpecs[Is Equities Emerging Markets],1):(INDEX(tblAssetMenuSpecs[Is Equities Emerging Markets],NumberOfAssets))))</f>
        <v>0</v>
      </c>
      <c r="P101" s="280">
        <f>MMULT(INDEX(ReportAssetWeightsBaseline,ROW()-ROW(K$95),1):INDEX(ReportAssetWeightsBaseline,ROW()-ROW(K$95),NumberOfAssets),INT(INDEX(tblAssetMenuSpecs[Is Commodities],1):(INDEX(tblAssetMenuSpecs[Is Commodities],NumberOfAssets))))</f>
        <v>0</v>
      </c>
      <c r="Q101" s="280">
        <f>MMULT(INDEX(ReportAssetWeightsBaseline,ROW()-ROW(L$95),1):INDEX(ReportAssetWeightsBaseline,ROW()-ROW(L$95),NumberOfAssets),INT(INDEX(tblAssetMenuSpecs[Is Private Equity],1):(INDEX(tblAssetMenuSpecs[Is Private Equity],NumberOfAssets))))</f>
        <v>0</v>
      </c>
      <c r="R101" s="280">
        <f>MMULT(INDEX(ReportAssetWeightsBaseline,ROW()-ROW(M$95),1):INDEX(ReportAssetWeightsBaseline,ROW()-ROW(M$95),NumberOfAssets),INT(INDEX(tblAssetMenuSpecs[Is Hedge Funds],1):(INDEX(tblAssetMenuSpecs[Is Hedge Funds],NumberOfAssets))))</f>
        <v>0</v>
      </c>
      <c r="S101" s="280">
        <f>MMULT(INDEX(ReportAssetWeightsBaseline,ROW()-ROW(N$95),1):INDEX(ReportAssetWeightsBaseline,ROW()-ROW(N$95),NumberOfAssets),INT(INDEX(tblAssetMenuSpecs[Is Real Estate EU],1):(INDEX(tblAssetMenuSpecs[Is Real Estate EU],NumberOfAssets))))</f>
        <v>0</v>
      </c>
      <c r="T101" s="280">
        <f>MMULT(INDEX(ReportAssetWeightsBaseline,ROW()-ROW(O$95),1):INDEX(ReportAssetWeightsBaseline,ROW()-ROW(O$95),NumberOfAssets),INT(INDEX(tblAssetMenuSpecs[Is Real Estate US],1):(INDEX(tblAssetMenuSpecs[Is Real Estate US],NumberOfAssets))))</f>
        <v>0</v>
      </c>
      <c r="U101" s="280">
        <f>MMULT(INDEX(ReportAssetWeightsBaseline,ROW()-ROW(P$95),1):INDEX(ReportAssetWeightsBaseline,ROW()-ROW(P$95),NumberOfAssets),INT(INDEX(tblAssetMenuSpecs[Is Real Estate Other Developed Markets],1):(INDEX(tblAssetMenuSpecs[Is Real Estate Other Developed Markets],NumberOfAssets))))</f>
        <v>0</v>
      </c>
      <c r="V101" s="280">
        <f>MMULT(INDEX(ReportAssetWeightsBaseline,ROW()-ROW(Q$95),1):INDEX(ReportAssetWeightsBaseline,ROW()-ROW(Q$95),NumberOfAssets),INT(INDEX(tblAssetMenuSpecs[Is Real Estate Commercial EU (non-leveraged)],1):(INDEX(tblAssetMenuSpecs[Is Real Estate Commercial EU (non-leveraged)],NumberOfAssets))))</f>
        <v>0</v>
      </c>
      <c r="W101" s="280">
        <f>MMULT(INDEX(ReportAssetWeightsBaseline,ROW()-ROW(P$95),1):INDEX(ReportAssetWeightsBaseline,ROW()-ROW(P$95),NumberOfAssets),INT(INDEX(tblAssetMenuSpecs[Is Real Estate Residential EU (non-leveraged)],1):(INDEX(tblAssetMenuSpecs[Is Real Estate Residential EU (non-leveraged)],NumberOfAssets))))</f>
        <v>0</v>
      </c>
      <c r="X101" s="280">
        <f>MMULT(INDEX(ReportAssetWeightsBaseline,ROW()-ROW(Q$95),1):INDEX(ReportAssetWeightsBaseline,ROW()-ROW(Q$95),NumberOfAssets),INT(INDEX(tblAssetMenuSpecs[Is Government Bond EU],1):(INDEX(tblAssetMenuSpecs[Is Government Bond EU],NumberOfAssets))))</f>
        <v>0</v>
      </c>
      <c r="Y101" s="280">
        <f>MMULT(INDEX(ReportAssetWeightsBaseline,ROW()-ROW(R$95),1):INDEX(ReportAssetWeightsBaseline,ROW()-ROW(R$95),NumberOfAssets),INT(INDEX(tblAssetMenuSpecs[Is Government Bond US],1):(INDEX(tblAssetMenuSpecs[Is Government Bond US],NumberOfAssets))))</f>
        <v>0</v>
      </c>
      <c r="Z101" s="280">
        <f>MMULT(INDEX(ReportAssetWeightsBaseline,ROW()-ROW(S$95),1):INDEX(ReportAssetWeightsBaseline,ROW()-ROW(S$95),NumberOfAssets),INT(INDEX(tblAssetMenuSpecs[Is Government Bond Other Developed Markets],1):(INDEX(tblAssetMenuSpecs[Is Government Bond Other Developed Markets],NumberOfAssets))))</f>
        <v>0</v>
      </c>
      <c r="AA101" s="280">
        <f>MMULT(INDEX(ReportAssetWeightsBaseline,ROW()-ROW(T$95),1):INDEX(ReportAssetWeightsBaseline,ROW()-ROW(T$95),NumberOfAssets),INT(INDEX(tblAssetMenuSpecs[Is Government Bond Emerging Markets],1):(INDEX(tblAssetMenuSpecs[Is Government Bond Emerging Markets],NumberOfAssets))))</f>
        <v>0</v>
      </c>
      <c r="AB101" s="280">
        <f>MMULT(INDEX(ReportAssetWeightsBaseline,ROW()-ROW(W$95),1):INDEX(ReportAssetWeightsBaseline,ROW()-ROW(W$95),NumberOfAssets),INT(INDEX(tblAssetMenuSpecs[Is Corporate Bond],1):(INDEX(tblAssetMenuSpecs[Is Corporate Bond],NumberOfAssets))))</f>
        <v>0</v>
      </c>
      <c r="AC101" s="280">
        <f>MMULT(INDEX(ReportAssetWeightsBaseline,ROW()-ROW(X$95),1):INDEX(ReportAssetWeightsBaseline,ROW()-ROW(X$95),NumberOfAssets),INT(INDEX(tblAssetMenuSpecs[Is Corporate Bond Non-Financial],1):(INDEX(tblAssetMenuSpecs[Is Corporate Bond Non-Financial],NumberOfAssets))))</f>
        <v>0</v>
      </c>
      <c r="AD101" s="280">
        <f>MMULT(INDEX(ReportAssetWeightsBaseline,ROW()-ROW(Y$95),1):INDEX(ReportAssetWeightsBaseline,ROW()-ROW(Y$95),NumberOfAssets),INT(INDEX(tblAssetMenuSpecs[Is Corporate Bond Financial],1):(INDEX(tblAssetMenuSpecs[Is Corporate Bond Financial],NumberOfAssets))))</f>
        <v>0</v>
      </c>
      <c r="AE101" s="280">
        <f>MMULT(INDEX(ReportAssetWeightsBaseline,ROW()-ROW(X$95),1):INDEX(ReportAssetWeightsBaseline,ROW()-ROW(X$95),NumberOfAssets),INT(INDEX(tblAssetMenuSpecs[Is Cash and Deposits],1):(INDEX(tblAssetMenuSpecs[Is Cash and Deposits],NumberOfAssets))))</f>
        <v>1</v>
      </c>
    </row>
    <row r="102" spans="6:31" x14ac:dyDescent="0.25">
      <c r="F102" s="278">
        <f t="shared" si="0"/>
        <v>29</v>
      </c>
      <c r="G102" s="279">
        <f>MMULT(INDEX(ReportAssetWeightsBaseline,ROW()-ROW(G$95),1):INDEX(ReportAssetWeightsBaseline,ROW()-ROW(G$95),NumberOfAssets),INT(INDEX(tblAssetMenuSpecs[IsEquities],1):(INDEX(tblAssetMenuSpecs[IsEquities],NumberOfAssets))))</f>
        <v>0</v>
      </c>
      <c r="H102" s="279">
        <f>MMULT(INDEX(ReportAssetWeightsBaseline,ROW()-ROW(H$95),1):INDEX(ReportAssetWeightsBaseline,ROW()-ROW(H$95),NumberOfAssets),INT(INDEX(tblAssetMenuSpecs[IsRealEstate],1):(INDEX(tblAssetMenuSpecs[IsRealEstate],NumberOfAssets))))</f>
        <v>0</v>
      </c>
      <c r="I102" s="279">
        <f>MMULT(INDEX(ReportAssetWeightsBaseline,ROW()-ROW(I$95),1):INDEX(ReportAssetWeightsBaseline,ROW()-ROW(I$95),NumberOfAssets),INT(INDEX(tblAssetMenuSpecs[IsAlternatives],1):(INDEX(tblAssetMenuSpecs[IsAlternatives],NumberOfAssets))))</f>
        <v>0</v>
      </c>
      <c r="J102" s="279">
        <f>MMULT(INDEX(ReportAssetWeightsBaseline,ROW()-ROW(J$95),1):INDEX(ReportAssetWeightsBaseline,ROW()-ROW(J$95),NumberOfAssets),INT(INDEX(tblAssetMenuSpecs[IsFixedIncome],1):(INDEX(tblAssetMenuSpecs[IsFixedIncome],NumberOfAssets))))</f>
        <v>1</v>
      </c>
      <c r="L102" s="280">
        <f>MMULT(INDEX(ReportAssetWeightsBaseline,ROW()-ROW(G$95),1):INDEX(ReportAssetWeightsBaseline,ROW()-ROW(G$95),NumberOfAssets),INT(INDEX(tblAssetMenuSpecs[Is Equities EU],1):(INDEX(tblAssetMenuSpecs[Is Equities EU],NumberOfAssets))))</f>
        <v>0</v>
      </c>
      <c r="M102" s="280">
        <f>MMULT(INDEX(ReportAssetWeightsBaseline,ROW()-ROW(H$95),1):INDEX(ReportAssetWeightsBaseline,ROW()-ROW(H$95),NumberOfAssets),INT(INDEX(tblAssetMenuSpecs[Is Equities US],1):(INDEX(tblAssetMenuSpecs[Is Equities US],NumberOfAssets))))</f>
        <v>0</v>
      </c>
      <c r="N102" s="280">
        <f>MMULT(INDEX(ReportAssetWeightsBaseline,ROW()-ROW(I$95),1):INDEX(ReportAssetWeightsBaseline,ROW()-ROW(I$95),NumberOfAssets),INT(INDEX(tblAssetMenuSpecs[Is Equities Other Developed Markets],1):(INDEX(tblAssetMenuSpecs[Is Equities Other Developed Markets],NumberOfAssets))))</f>
        <v>0</v>
      </c>
      <c r="O102" s="280">
        <f>MMULT(INDEX(ReportAssetWeightsBaseline,ROW()-ROW(J$95),1):INDEX(ReportAssetWeightsBaseline,ROW()-ROW(J$95),NumberOfAssets),INT(INDEX(tblAssetMenuSpecs[Is Equities Emerging Markets],1):(INDEX(tblAssetMenuSpecs[Is Equities Emerging Markets],NumberOfAssets))))</f>
        <v>0</v>
      </c>
      <c r="P102" s="280">
        <f>MMULT(INDEX(ReportAssetWeightsBaseline,ROW()-ROW(K$95),1):INDEX(ReportAssetWeightsBaseline,ROW()-ROW(K$95),NumberOfAssets),INT(INDEX(tblAssetMenuSpecs[Is Commodities],1):(INDEX(tblAssetMenuSpecs[Is Commodities],NumberOfAssets))))</f>
        <v>0</v>
      </c>
      <c r="Q102" s="280">
        <f>MMULT(INDEX(ReportAssetWeightsBaseline,ROW()-ROW(L$95),1):INDEX(ReportAssetWeightsBaseline,ROW()-ROW(L$95),NumberOfAssets),INT(INDEX(tblAssetMenuSpecs[Is Private Equity],1):(INDEX(tblAssetMenuSpecs[Is Private Equity],NumberOfAssets))))</f>
        <v>0</v>
      </c>
      <c r="R102" s="280">
        <f>MMULT(INDEX(ReportAssetWeightsBaseline,ROW()-ROW(M$95),1):INDEX(ReportAssetWeightsBaseline,ROW()-ROW(M$95),NumberOfAssets),INT(INDEX(tblAssetMenuSpecs[Is Hedge Funds],1):(INDEX(tblAssetMenuSpecs[Is Hedge Funds],NumberOfAssets))))</f>
        <v>0</v>
      </c>
      <c r="S102" s="280">
        <f>MMULT(INDEX(ReportAssetWeightsBaseline,ROW()-ROW(N$95),1):INDEX(ReportAssetWeightsBaseline,ROW()-ROW(N$95),NumberOfAssets),INT(INDEX(tblAssetMenuSpecs[Is Real Estate EU],1):(INDEX(tblAssetMenuSpecs[Is Real Estate EU],NumberOfAssets))))</f>
        <v>0</v>
      </c>
      <c r="T102" s="280">
        <f>MMULT(INDEX(ReportAssetWeightsBaseline,ROW()-ROW(O$95),1):INDEX(ReportAssetWeightsBaseline,ROW()-ROW(O$95),NumberOfAssets),INT(INDEX(tblAssetMenuSpecs[Is Real Estate US],1):(INDEX(tblAssetMenuSpecs[Is Real Estate US],NumberOfAssets))))</f>
        <v>0</v>
      </c>
      <c r="U102" s="280">
        <f>MMULT(INDEX(ReportAssetWeightsBaseline,ROW()-ROW(P$95),1):INDEX(ReportAssetWeightsBaseline,ROW()-ROW(P$95),NumberOfAssets),INT(INDEX(tblAssetMenuSpecs[Is Real Estate Other Developed Markets],1):(INDEX(tblAssetMenuSpecs[Is Real Estate Other Developed Markets],NumberOfAssets))))</f>
        <v>0</v>
      </c>
      <c r="V102" s="280">
        <f>MMULT(INDEX(ReportAssetWeightsBaseline,ROW()-ROW(Q$95),1):INDEX(ReportAssetWeightsBaseline,ROW()-ROW(Q$95),NumberOfAssets),INT(INDEX(tblAssetMenuSpecs[Is Real Estate Commercial EU (non-leveraged)],1):(INDEX(tblAssetMenuSpecs[Is Real Estate Commercial EU (non-leveraged)],NumberOfAssets))))</f>
        <v>0</v>
      </c>
      <c r="W102" s="280">
        <f>MMULT(INDEX(ReportAssetWeightsBaseline,ROW()-ROW(P$95),1):INDEX(ReportAssetWeightsBaseline,ROW()-ROW(P$95),NumberOfAssets),INT(INDEX(tblAssetMenuSpecs[Is Real Estate Residential EU (non-leveraged)],1):(INDEX(tblAssetMenuSpecs[Is Real Estate Residential EU (non-leveraged)],NumberOfAssets))))</f>
        <v>0</v>
      </c>
      <c r="X102" s="280">
        <f>MMULT(INDEX(ReportAssetWeightsBaseline,ROW()-ROW(Q$95),1):INDEX(ReportAssetWeightsBaseline,ROW()-ROW(Q$95),NumberOfAssets),INT(INDEX(tblAssetMenuSpecs[Is Government Bond EU],1):(INDEX(tblAssetMenuSpecs[Is Government Bond EU],NumberOfAssets))))</f>
        <v>0</v>
      </c>
      <c r="Y102" s="280">
        <f>MMULT(INDEX(ReportAssetWeightsBaseline,ROW()-ROW(R$95),1):INDEX(ReportAssetWeightsBaseline,ROW()-ROW(R$95),NumberOfAssets),INT(INDEX(tblAssetMenuSpecs[Is Government Bond US],1):(INDEX(tblAssetMenuSpecs[Is Government Bond US],NumberOfAssets))))</f>
        <v>0</v>
      </c>
      <c r="Z102" s="280">
        <f>MMULT(INDEX(ReportAssetWeightsBaseline,ROW()-ROW(S$95),1):INDEX(ReportAssetWeightsBaseline,ROW()-ROW(S$95),NumberOfAssets),INT(INDEX(tblAssetMenuSpecs[Is Government Bond Other Developed Markets],1):(INDEX(tblAssetMenuSpecs[Is Government Bond Other Developed Markets],NumberOfAssets))))</f>
        <v>0</v>
      </c>
      <c r="AA102" s="280">
        <f>MMULT(INDEX(ReportAssetWeightsBaseline,ROW()-ROW(T$95),1):INDEX(ReportAssetWeightsBaseline,ROW()-ROW(T$95),NumberOfAssets),INT(INDEX(tblAssetMenuSpecs[Is Government Bond Emerging Markets],1):(INDEX(tblAssetMenuSpecs[Is Government Bond Emerging Markets],NumberOfAssets))))</f>
        <v>0</v>
      </c>
      <c r="AB102" s="280">
        <f>MMULT(INDEX(ReportAssetWeightsBaseline,ROW()-ROW(W$95),1):INDEX(ReportAssetWeightsBaseline,ROW()-ROW(W$95),NumberOfAssets),INT(INDEX(tblAssetMenuSpecs[Is Corporate Bond],1):(INDEX(tblAssetMenuSpecs[Is Corporate Bond],NumberOfAssets))))</f>
        <v>0</v>
      </c>
      <c r="AC102" s="280">
        <f>MMULT(INDEX(ReportAssetWeightsBaseline,ROW()-ROW(X$95),1):INDEX(ReportAssetWeightsBaseline,ROW()-ROW(X$95),NumberOfAssets),INT(INDEX(tblAssetMenuSpecs[Is Corporate Bond Non-Financial],1):(INDEX(tblAssetMenuSpecs[Is Corporate Bond Non-Financial],NumberOfAssets))))</f>
        <v>0</v>
      </c>
      <c r="AD102" s="280">
        <f>MMULT(INDEX(ReportAssetWeightsBaseline,ROW()-ROW(Y$95),1):INDEX(ReportAssetWeightsBaseline,ROW()-ROW(Y$95),NumberOfAssets),INT(INDEX(tblAssetMenuSpecs[Is Corporate Bond Financial],1):(INDEX(tblAssetMenuSpecs[Is Corporate Bond Financial],NumberOfAssets))))</f>
        <v>0</v>
      </c>
      <c r="AE102" s="280">
        <f>MMULT(INDEX(ReportAssetWeightsBaseline,ROW()-ROW(X$95),1):INDEX(ReportAssetWeightsBaseline,ROW()-ROW(X$95),NumberOfAssets),INT(INDEX(tblAssetMenuSpecs[Is Cash and Deposits],1):(INDEX(tblAssetMenuSpecs[Is Cash and Deposits],NumberOfAssets))))</f>
        <v>1</v>
      </c>
    </row>
    <row r="103" spans="6:31" x14ac:dyDescent="0.25">
      <c r="F103" s="278">
        <f t="shared" si="0"/>
        <v>28</v>
      </c>
      <c r="G103" s="279">
        <f>MMULT(INDEX(ReportAssetWeightsBaseline,ROW()-ROW(G$95),1):INDEX(ReportAssetWeightsBaseline,ROW()-ROW(G$95),NumberOfAssets),INT(INDEX(tblAssetMenuSpecs[IsEquities],1):(INDEX(tblAssetMenuSpecs[IsEquities],NumberOfAssets))))</f>
        <v>0</v>
      </c>
      <c r="H103" s="279">
        <f>MMULT(INDEX(ReportAssetWeightsBaseline,ROW()-ROW(H$95),1):INDEX(ReportAssetWeightsBaseline,ROW()-ROW(H$95),NumberOfAssets),INT(INDEX(tblAssetMenuSpecs[IsRealEstate],1):(INDEX(tblAssetMenuSpecs[IsRealEstate],NumberOfAssets))))</f>
        <v>0</v>
      </c>
      <c r="I103" s="279">
        <f>MMULT(INDEX(ReportAssetWeightsBaseline,ROW()-ROW(I$95),1):INDEX(ReportAssetWeightsBaseline,ROW()-ROW(I$95),NumberOfAssets),INT(INDEX(tblAssetMenuSpecs[IsAlternatives],1):(INDEX(tblAssetMenuSpecs[IsAlternatives],NumberOfAssets))))</f>
        <v>0</v>
      </c>
      <c r="J103" s="279">
        <f>MMULT(INDEX(ReportAssetWeightsBaseline,ROW()-ROW(J$95),1):INDEX(ReportAssetWeightsBaseline,ROW()-ROW(J$95),NumberOfAssets),INT(INDEX(tblAssetMenuSpecs[IsFixedIncome],1):(INDEX(tblAssetMenuSpecs[IsFixedIncome],NumberOfAssets))))</f>
        <v>1</v>
      </c>
      <c r="L103" s="280">
        <f>MMULT(INDEX(ReportAssetWeightsBaseline,ROW()-ROW(G$95),1):INDEX(ReportAssetWeightsBaseline,ROW()-ROW(G$95),NumberOfAssets),INT(INDEX(tblAssetMenuSpecs[Is Equities EU],1):(INDEX(tblAssetMenuSpecs[Is Equities EU],NumberOfAssets))))</f>
        <v>0</v>
      </c>
      <c r="M103" s="280">
        <f>MMULT(INDEX(ReportAssetWeightsBaseline,ROW()-ROW(H$95),1):INDEX(ReportAssetWeightsBaseline,ROW()-ROW(H$95),NumberOfAssets),INT(INDEX(tblAssetMenuSpecs[Is Equities US],1):(INDEX(tblAssetMenuSpecs[Is Equities US],NumberOfAssets))))</f>
        <v>0</v>
      </c>
      <c r="N103" s="280">
        <f>MMULT(INDEX(ReportAssetWeightsBaseline,ROW()-ROW(I$95),1):INDEX(ReportAssetWeightsBaseline,ROW()-ROW(I$95),NumberOfAssets),INT(INDEX(tblAssetMenuSpecs[Is Equities Other Developed Markets],1):(INDEX(tblAssetMenuSpecs[Is Equities Other Developed Markets],NumberOfAssets))))</f>
        <v>0</v>
      </c>
      <c r="O103" s="280">
        <f>MMULT(INDEX(ReportAssetWeightsBaseline,ROW()-ROW(J$95),1):INDEX(ReportAssetWeightsBaseline,ROW()-ROW(J$95),NumberOfAssets),INT(INDEX(tblAssetMenuSpecs[Is Equities Emerging Markets],1):(INDEX(tblAssetMenuSpecs[Is Equities Emerging Markets],NumberOfAssets))))</f>
        <v>0</v>
      </c>
      <c r="P103" s="280">
        <f>MMULT(INDEX(ReportAssetWeightsBaseline,ROW()-ROW(K$95),1):INDEX(ReportAssetWeightsBaseline,ROW()-ROW(K$95),NumberOfAssets),INT(INDEX(tblAssetMenuSpecs[Is Commodities],1):(INDEX(tblAssetMenuSpecs[Is Commodities],NumberOfAssets))))</f>
        <v>0</v>
      </c>
      <c r="Q103" s="280">
        <f>MMULT(INDEX(ReportAssetWeightsBaseline,ROW()-ROW(L$95),1):INDEX(ReportAssetWeightsBaseline,ROW()-ROW(L$95),NumberOfAssets),INT(INDEX(tblAssetMenuSpecs[Is Private Equity],1):(INDEX(tblAssetMenuSpecs[Is Private Equity],NumberOfAssets))))</f>
        <v>0</v>
      </c>
      <c r="R103" s="280">
        <f>MMULT(INDEX(ReportAssetWeightsBaseline,ROW()-ROW(M$95),1):INDEX(ReportAssetWeightsBaseline,ROW()-ROW(M$95),NumberOfAssets),INT(INDEX(tblAssetMenuSpecs[Is Hedge Funds],1):(INDEX(tblAssetMenuSpecs[Is Hedge Funds],NumberOfAssets))))</f>
        <v>0</v>
      </c>
      <c r="S103" s="280">
        <f>MMULT(INDEX(ReportAssetWeightsBaseline,ROW()-ROW(N$95),1):INDEX(ReportAssetWeightsBaseline,ROW()-ROW(N$95),NumberOfAssets),INT(INDEX(tblAssetMenuSpecs[Is Real Estate EU],1):(INDEX(tblAssetMenuSpecs[Is Real Estate EU],NumberOfAssets))))</f>
        <v>0</v>
      </c>
      <c r="T103" s="280">
        <f>MMULT(INDEX(ReportAssetWeightsBaseline,ROW()-ROW(O$95),1):INDEX(ReportAssetWeightsBaseline,ROW()-ROW(O$95),NumberOfAssets),INT(INDEX(tblAssetMenuSpecs[Is Real Estate US],1):(INDEX(tblAssetMenuSpecs[Is Real Estate US],NumberOfAssets))))</f>
        <v>0</v>
      </c>
      <c r="U103" s="280">
        <f>MMULT(INDEX(ReportAssetWeightsBaseline,ROW()-ROW(P$95),1):INDEX(ReportAssetWeightsBaseline,ROW()-ROW(P$95),NumberOfAssets),INT(INDEX(tblAssetMenuSpecs[Is Real Estate Other Developed Markets],1):(INDEX(tblAssetMenuSpecs[Is Real Estate Other Developed Markets],NumberOfAssets))))</f>
        <v>0</v>
      </c>
      <c r="V103" s="280">
        <f>MMULT(INDEX(ReportAssetWeightsBaseline,ROW()-ROW(Q$95),1):INDEX(ReportAssetWeightsBaseline,ROW()-ROW(Q$95),NumberOfAssets),INT(INDEX(tblAssetMenuSpecs[Is Real Estate Commercial EU (non-leveraged)],1):(INDEX(tblAssetMenuSpecs[Is Real Estate Commercial EU (non-leveraged)],NumberOfAssets))))</f>
        <v>0</v>
      </c>
      <c r="W103" s="280">
        <f>MMULT(INDEX(ReportAssetWeightsBaseline,ROW()-ROW(P$95),1):INDEX(ReportAssetWeightsBaseline,ROW()-ROW(P$95),NumberOfAssets),INT(INDEX(tblAssetMenuSpecs[Is Real Estate Residential EU (non-leveraged)],1):(INDEX(tblAssetMenuSpecs[Is Real Estate Residential EU (non-leveraged)],NumberOfAssets))))</f>
        <v>0</v>
      </c>
      <c r="X103" s="280">
        <f>MMULT(INDEX(ReportAssetWeightsBaseline,ROW()-ROW(Q$95),1):INDEX(ReportAssetWeightsBaseline,ROW()-ROW(Q$95),NumberOfAssets),INT(INDEX(tblAssetMenuSpecs[Is Government Bond EU],1):(INDEX(tblAssetMenuSpecs[Is Government Bond EU],NumberOfAssets))))</f>
        <v>0</v>
      </c>
      <c r="Y103" s="280">
        <f>MMULT(INDEX(ReportAssetWeightsBaseline,ROW()-ROW(R$95),1):INDEX(ReportAssetWeightsBaseline,ROW()-ROW(R$95),NumberOfAssets),INT(INDEX(tblAssetMenuSpecs[Is Government Bond US],1):(INDEX(tblAssetMenuSpecs[Is Government Bond US],NumberOfAssets))))</f>
        <v>0</v>
      </c>
      <c r="Z103" s="280">
        <f>MMULT(INDEX(ReportAssetWeightsBaseline,ROW()-ROW(S$95),1):INDEX(ReportAssetWeightsBaseline,ROW()-ROW(S$95),NumberOfAssets),INT(INDEX(tblAssetMenuSpecs[Is Government Bond Other Developed Markets],1):(INDEX(tblAssetMenuSpecs[Is Government Bond Other Developed Markets],NumberOfAssets))))</f>
        <v>0</v>
      </c>
      <c r="AA103" s="280">
        <f>MMULT(INDEX(ReportAssetWeightsBaseline,ROW()-ROW(T$95),1):INDEX(ReportAssetWeightsBaseline,ROW()-ROW(T$95),NumberOfAssets),INT(INDEX(tblAssetMenuSpecs[Is Government Bond Emerging Markets],1):(INDEX(tblAssetMenuSpecs[Is Government Bond Emerging Markets],NumberOfAssets))))</f>
        <v>0</v>
      </c>
      <c r="AB103" s="280">
        <f>MMULT(INDEX(ReportAssetWeightsBaseline,ROW()-ROW(W$95),1):INDEX(ReportAssetWeightsBaseline,ROW()-ROW(W$95),NumberOfAssets),INT(INDEX(tblAssetMenuSpecs[Is Corporate Bond],1):(INDEX(tblAssetMenuSpecs[Is Corporate Bond],NumberOfAssets))))</f>
        <v>0</v>
      </c>
      <c r="AC103" s="280">
        <f>MMULT(INDEX(ReportAssetWeightsBaseline,ROW()-ROW(X$95),1):INDEX(ReportAssetWeightsBaseline,ROW()-ROW(X$95),NumberOfAssets),INT(INDEX(tblAssetMenuSpecs[Is Corporate Bond Non-Financial],1):(INDEX(tblAssetMenuSpecs[Is Corporate Bond Non-Financial],NumberOfAssets))))</f>
        <v>0</v>
      </c>
      <c r="AD103" s="280">
        <f>MMULT(INDEX(ReportAssetWeightsBaseline,ROW()-ROW(Y$95),1):INDEX(ReportAssetWeightsBaseline,ROW()-ROW(Y$95),NumberOfAssets),INT(INDEX(tblAssetMenuSpecs[Is Corporate Bond Financial],1):(INDEX(tblAssetMenuSpecs[Is Corporate Bond Financial],NumberOfAssets))))</f>
        <v>0</v>
      </c>
      <c r="AE103" s="280">
        <f>MMULT(INDEX(ReportAssetWeightsBaseline,ROW()-ROW(X$95),1):INDEX(ReportAssetWeightsBaseline,ROW()-ROW(X$95),NumberOfAssets),INT(INDEX(tblAssetMenuSpecs[Is Cash and Deposits],1):(INDEX(tblAssetMenuSpecs[Is Cash and Deposits],NumberOfAssets))))</f>
        <v>1</v>
      </c>
    </row>
    <row r="104" spans="6:31" x14ac:dyDescent="0.25">
      <c r="F104" s="278">
        <f t="shared" si="0"/>
        <v>27</v>
      </c>
      <c r="G104" s="279">
        <f>MMULT(INDEX(ReportAssetWeightsBaseline,ROW()-ROW(G$95),1):INDEX(ReportAssetWeightsBaseline,ROW()-ROW(G$95),NumberOfAssets),INT(INDEX(tblAssetMenuSpecs[IsEquities],1):(INDEX(tblAssetMenuSpecs[IsEquities],NumberOfAssets))))</f>
        <v>0</v>
      </c>
      <c r="H104" s="279">
        <f>MMULT(INDEX(ReportAssetWeightsBaseline,ROW()-ROW(H$95),1):INDEX(ReportAssetWeightsBaseline,ROW()-ROW(H$95),NumberOfAssets),INT(INDEX(tblAssetMenuSpecs[IsRealEstate],1):(INDEX(tblAssetMenuSpecs[IsRealEstate],NumberOfAssets))))</f>
        <v>0</v>
      </c>
      <c r="I104" s="279">
        <f>MMULT(INDEX(ReportAssetWeightsBaseline,ROW()-ROW(I$95),1):INDEX(ReportAssetWeightsBaseline,ROW()-ROW(I$95),NumberOfAssets),INT(INDEX(tblAssetMenuSpecs[IsAlternatives],1):(INDEX(tblAssetMenuSpecs[IsAlternatives],NumberOfAssets))))</f>
        <v>0</v>
      </c>
      <c r="J104" s="279">
        <f>MMULT(INDEX(ReportAssetWeightsBaseline,ROW()-ROW(J$95),1):INDEX(ReportAssetWeightsBaseline,ROW()-ROW(J$95),NumberOfAssets),INT(INDEX(tblAssetMenuSpecs[IsFixedIncome],1):(INDEX(tblAssetMenuSpecs[IsFixedIncome],NumberOfAssets))))</f>
        <v>1</v>
      </c>
      <c r="L104" s="280">
        <f>MMULT(INDEX(ReportAssetWeightsBaseline,ROW()-ROW(G$95),1):INDEX(ReportAssetWeightsBaseline,ROW()-ROW(G$95),NumberOfAssets),INT(INDEX(tblAssetMenuSpecs[Is Equities EU],1):(INDEX(tblAssetMenuSpecs[Is Equities EU],NumberOfAssets))))</f>
        <v>0</v>
      </c>
      <c r="M104" s="280">
        <f>MMULT(INDEX(ReportAssetWeightsBaseline,ROW()-ROW(H$95),1):INDEX(ReportAssetWeightsBaseline,ROW()-ROW(H$95),NumberOfAssets),INT(INDEX(tblAssetMenuSpecs[Is Equities US],1):(INDEX(tblAssetMenuSpecs[Is Equities US],NumberOfAssets))))</f>
        <v>0</v>
      </c>
      <c r="N104" s="280">
        <f>MMULT(INDEX(ReportAssetWeightsBaseline,ROW()-ROW(I$95),1):INDEX(ReportAssetWeightsBaseline,ROW()-ROW(I$95),NumberOfAssets),INT(INDEX(tblAssetMenuSpecs[Is Equities Other Developed Markets],1):(INDEX(tblAssetMenuSpecs[Is Equities Other Developed Markets],NumberOfAssets))))</f>
        <v>0</v>
      </c>
      <c r="O104" s="280">
        <f>MMULT(INDEX(ReportAssetWeightsBaseline,ROW()-ROW(J$95),1):INDEX(ReportAssetWeightsBaseline,ROW()-ROW(J$95),NumberOfAssets),INT(INDEX(tblAssetMenuSpecs[Is Equities Emerging Markets],1):(INDEX(tblAssetMenuSpecs[Is Equities Emerging Markets],NumberOfAssets))))</f>
        <v>0</v>
      </c>
      <c r="P104" s="280">
        <f>MMULT(INDEX(ReportAssetWeightsBaseline,ROW()-ROW(K$95),1):INDEX(ReportAssetWeightsBaseline,ROW()-ROW(K$95),NumberOfAssets),INT(INDEX(tblAssetMenuSpecs[Is Commodities],1):(INDEX(tblAssetMenuSpecs[Is Commodities],NumberOfAssets))))</f>
        <v>0</v>
      </c>
      <c r="Q104" s="280">
        <f>MMULT(INDEX(ReportAssetWeightsBaseline,ROW()-ROW(L$95),1):INDEX(ReportAssetWeightsBaseline,ROW()-ROW(L$95),NumberOfAssets),INT(INDEX(tblAssetMenuSpecs[Is Private Equity],1):(INDEX(tblAssetMenuSpecs[Is Private Equity],NumberOfAssets))))</f>
        <v>0</v>
      </c>
      <c r="R104" s="280">
        <f>MMULT(INDEX(ReportAssetWeightsBaseline,ROW()-ROW(M$95),1):INDEX(ReportAssetWeightsBaseline,ROW()-ROW(M$95),NumberOfAssets),INT(INDEX(tblAssetMenuSpecs[Is Hedge Funds],1):(INDEX(tblAssetMenuSpecs[Is Hedge Funds],NumberOfAssets))))</f>
        <v>0</v>
      </c>
      <c r="S104" s="280">
        <f>MMULT(INDEX(ReportAssetWeightsBaseline,ROW()-ROW(N$95),1):INDEX(ReportAssetWeightsBaseline,ROW()-ROW(N$95),NumberOfAssets),INT(INDEX(tblAssetMenuSpecs[Is Real Estate EU],1):(INDEX(tblAssetMenuSpecs[Is Real Estate EU],NumberOfAssets))))</f>
        <v>0</v>
      </c>
      <c r="T104" s="280">
        <f>MMULT(INDEX(ReportAssetWeightsBaseline,ROW()-ROW(O$95),1):INDEX(ReportAssetWeightsBaseline,ROW()-ROW(O$95),NumberOfAssets),INT(INDEX(tblAssetMenuSpecs[Is Real Estate US],1):(INDEX(tblAssetMenuSpecs[Is Real Estate US],NumberOfAssets))))</f>
        <v>0</v>
      </c>
      <c r="U104" s="280">
        <f>MMULT(INDEX(ReportAssetWeightsBaseline,ROW()-ROW(P$95),1):INDEX(ReportAssetWeightsBaseline,ROW()-ROW(P$95),NumberOfAssets),INT(INDEX(tblAssetMenuSpecs[Is Real Estate Other Developed Markets],1):(INDEX(tblAssetMenuSpecs[Is Real Estate Other Developed Markets],NumberOfAssets))))</f>
        <v>0</v>
      </c>
      <c r="V104" s="280">
        <f>MMULT(INDEX(ReportAssetWeightsBaseline,ROW()-ROW(Q$95),1):INDEX(ReportAssetWeightsBaseline,ROW()-ROW(Q$95),NumberOfAssets),INT(INDEX(tblAssetMenuSpecs[Is Real Estate Commercial EU (non-leveraged)],1):(INDEX(tblAssetMenuSpecs[Is Real Estate Commercial EU (non-leveraged)],NumberOfAssets))))</f>
        <v>0</v>
      </c>
      <c r="W104" s="280">
        <f>MMULT(INDEX(ReportAssetWeightsBaseline,ROW()-ROW(P$95),1):INDEX(ReportAssetWeightsBaseline,ROW()-ROW(P$95),NumberOfAssets),INT(INDEX(tblAssetMenuSpecs[Is Real Estate Residential EU (non-leveraged)],1):(INDEX(tblAssetMenuSpecs[Is Real Estate Residential EU (non-leveraged)],NumberOfAssets))))</f>
        <v>0</v>
      </c>
      <c r="X104" s="280">
        <f>MMULT(INDEX(ReportAssetWeightsBaseline,ROW()-ROW(Q$95),1):INDEX(ReportAssetWeightsBaseline,ROW()-ROW(Q$95),NumberOfAssets),INT(INDEX(tblAssetMenuSpecs[Is Government Bond EU],1):(INDEX(tblAssetMenuSpecs[Is Government Bond EU],NumberOfAssets))))</f>
        <v>0</v>
      </c>
      <c r="Y104" s="280">
        <f>MMULT(INDEX(ReportAssetWeightsBaseline,ROW()-ROW(R$95),1):INDEX(ReportAssetWeightsBaseline,ROW()-ROW(R$95),NumberOfAssets),INT(INDEX(tblAssetMenuSpecs[Is Government Bond US],1):(INDEX(tblAssetMenuSpecs[Is Government Bond US],NumberOfAssets))))</f>
        <v>0</v>
      </c>
      <c r="Z104" s="280">
        <f>MMULT(INDEX(ReportAssetWeightsBaseline,ROW()-ROW(S$95),1):INDEX(ReportAssetWeightsBaseline,ROW()-ROW(S$95),NumberOfAssets),INT(INDEX(tblAssetMenuSpecs[Is Government Bond Other Developed Markets],1):(INDEX(tblAssetMenuSpecs[Is Government Bond Other Developed Markets],NumberOfAssets))))</f>
        <v>0</v>
      </c>
      <c r="AA104" s="280">
        <f>MMULT(INDEX(ReportAssetWeightsBaseline,ROW()-ROW(T$95),1):INDEX(ReportAssetWeightsBaseline,ROW()-ROW(T$95),NumberOfAssets),INT(INDEX(tblAssetMenuSpecs[Is Government Bond Emerging Markets],1):(INDEX(tblAssetMenuSpecs[Is Government Bond Emerging Markets],NumberOfAssets))))</f>
        <v>0</v>
      </c>
      <c r="AB104" s="280">
        <f>MMULT(INDEX(ReportAssetWeightsBaseline,ROW()-ROW(W$95),1):INDEX(ReportAssetWeightsBaseline,ROW()-ROW(W$95),NumberOfAssets),INT(INDEX(tblAssetMenuSpecs[Is Corporate Bond],1):(INDEX(tblAssetMenuSpecs[Is Corporate Bond],NumberOfAssets))))</f>
        <v>0</v>
      </c>
      <c r="AC104" s="280">
        <f>MMULT(INDEX(ReportAssetWeightsBaseline,ROW()-ROW(X$95),1):INDEX(ReportAssetWeightsBaseline,ROW()-ROW(X$95),NumberOfAssets),INT(INDEX(tblAssetMenuSpecs[Is Corporate Bond Non-Financial],1):(INDEX(tblAssetMenuSpecs[Is Corporate Bond Non-Financial],NumberOfAssets))))</f>
        <v>0</v>
      </c>
      <c r="AD104" s="280">
        <f>MMULT(INDEX(ReportAssetWeightsBaseline,ROW()-ROW(Y$95),1):INDEX(ReportAssetWeightsBaseline,ROW()-ROW(Y$95),NumberOfAssets),INT(INDEX(tblAssetMenuSpecs[Is Corporate Bond Financial],1):(INDEX(tblAssetMenuSpecs[Is Corporate Bond Financial],NumberOfAssets))))</f>
        <v>0</v>
      </c>
      <c r="AE104" s="280">
        <f>MMULT(INDEX(ReportAssetWeightsBaseline,ROW()-ROW(X$95),1):INDEX(ReportAssetWeightsBaseline,ROW()-ROW(X$95),NumberOfAssets),INT(INDEX(tblAssetMenuSpecs[Is Cash and Deposits],1):(INDEX(tblAssetMenuSpecs[Is Cash and Deposits],NumberOfAssets))))</f>
        <v>1</v>
      </c>
    </row>
    <row r="105" spans="6:31" x14ac:dyDescent="0.25">
      <c r="F105" s="278">
        <f t="shared" si="0"/>
        <v>26</v>
      </c>
      <c r="G105" s="279">
        <f>MMULT(INDEX(ReportAssetWeightsBaseline,ROW()-ROW(G$95),1):INDEX(ReportAssetWeightsBaseline,ROW()-ROW(G$95),NumberOfAssets),INT(INDEX(tblAssetMenuSpecs[IsEquities],1):(INDEX(tblAssetMenuSpecs[IsEquities],NumberOfAssets))))</f>
        <v>0</v>
      </c>
      <c r="H105" s="279">
        <f>MMULT(INDEX(ReportAssetWeightsBaseline,ROW()-ROW(H$95),1):INDEX(ReportAssetWeightsBaseline,ROW()-ROW(H$95),NumberOfAssets),INT(INDEX(tblAssetMenuSpecs[IsRealEstate],1):(INDEX(tblAssetMenuSpecs[IsRealEstate],NumberOfAssets))))</f>
        <v>0</v>
      </c>
      <c r="I105" s="279">
        <f>MMULT(INDEX(ReportAssetWeightsBaseline,ROW()-ROW(I$95),1):INDEX(ReportAssetWeightsBaseline,ROW()-ROW(I$95),NumberOfAssets),INT(INDEX(tblAssetMenuSpecs[IsAlternatives],1):(INDEX(tblAssetMenuSpecs[IsAlternatives],NumberOfAssets))))</f>
        <v>0</v>
      </c>
      <c r="J105" s="279">
        <f>MMULT(INDEX(ReportAssetWeightsBaseline,ROW()-ROW(J$95),1):INDEX(ReportAssetWeightsBaseline,ROW()-ROW(J$95),NumberOfAssets),INT(INDEX(tblAssetMenuSpecs[IsFixedIncome],1):(INDEX(tblAssetMenuSpecs[IsFixedIncome],NumberOfAssets))))</f>
        <v>1</v>
      </c>
      <c r="L105" s="280">
        <f>MMULT(INDEX(ReportAssetWeightsBaseline,ROW()-ROW(G$95),1):INDEX(ReportAssetWeightsBaseline,ROW()-ROW(G$95),NumberOfAssets),INT(INDEX(tblAssetMenuSpecs[Is Equities EU],1):(INDEX(tblAssetMenuSpecs[Is Equities EU],NumberOfAssets))))</f>
        <v>0</v>
      </c>
      <c r="M105" s="280">
        <f>MMULT(INDEX(ReportAssetWeightsBaseline,ROW()-ROW(H$95),1):INDEX(ReportAssetWeightsBaseline,ROW()-ROW(H$95),NumberOfAssets),INT(INDEX(tblAssetMenuSpecs[Is Equities US],1):(INDEX(tblAssetMenuSpecs[Is Equities US],NumberOfAssets))))</f>
        <v>0</v>
      </c>
      <c r="N105" s="280">
        <f>MMULT(INDEX(ReportAssetWeightsBaseline,ROW()-ROW(I$95),1):INDEX(ReportAssetWeightsBaseline,ROW()-ROW(I$95),NumberOfAssets),INT(INDEX(tblAssetMenuSpecs[Is Equities Other Developed Markets],1):(INDEX(tblAssetMenuSpecs[Is Equities Other Developed Markets],NumberOfAssets))))</f>
        <v>0</v>
      </c>
      <c r="O105" s="280">
        <f>MMULT(INDEX(ReportAssetWeightsBaseline,ROW()-ROW(J$95),1):INDEX(ReportAssetWeightsBaseline,ROW()-ROW(J$95),NumberOfAssets),INT(INDEX(tblAssetMenuSpecs[Is Equities Emerging Markets],1):(INDEX(tblAssetMenuSpecs[Is Equities Emerging Markets],NumberOfAssets))))</f>
        <v>0</v>
      </c>
      <c r="P105" s="280">
        <f>MMULT(INDEX(ReportAssetWeightsBaseline,ROW()-ROW(K$95),1):INDEX(ReportAssetWeightsBaseline,ROW()-ROW(K$95),NumberOfAssets),INT(INDEX(tblAssetMenuSpecs[Is Commodities],1):(INDEX(tblAssetMenuSpecs[Is Commodities],NumberOfAssets))))</f>
        <v>0</v>
      </c>
      <c r="Q105" s="280">
        <f>MMULT(INDEX(ReportAssetWeightsBaseline,ROW()-ROW(L$95),1):INDEX(ReportAssetWeightsBaseline,ROW()-ROW(L$95),NumberOfAssets),INT(INDEX(tblAssetMenuSpecs[Is Private Equity],1):(INDEX(tblAssetMenuSpecs[Is Private Equity],NumberOfAssets))))</f>
        <v>0</v>
      </c>
      <c r="R105" s="280">
        <f>MMULT(INDEX(ReportAssetWeightsBaseline,ROW()-ROW(M$95),1):INDEX(ReportAssetWeightsBaseline,ROW()-ROW(M$95),NumberOfAssets),INT(INDEX(tblAssetMenuSpecs[Is Hedge Funds],1):(INDEX(tblAssetMenuSpecs[Is Hedge Funds],NumberOfAssets))))</f>
        <v>0</v>
      </c>
      <c r="S105" s="280">
        <f>MMULT(INDEX(ReportAssetWeightsBaseline,ROW()-ROW(N$95),1):INDEX(ReportAssetWeightsBaseline,ROW()-ROW(N$95),NumberOfAssets),INT(INDEX(tblAssetMenuSpecs[Is Real Estate EU],1):(INDEX(tblAssetMenuSpecs[Is Real Estate EU],NumberOfAssets))))</f>
        <v>0</v>
      </c>
      <c r="T105" s="280">
        <f>MMULT(INDEX(ReportAssetWeightsBaseline,ROW()-ROW(O$95),1):INDEX(ReportAssetWeightsBaseline,ROW()-ROW(O$95),NumberOfAssets),INT(INDEX(tblAssetMenuSpecs[Is Real Estate US],1):(INDEX(tblAssetMenuSpecs[Is Real Estate US],NumberOfAssets))))</f>
        <v>0</v>
      </c>
      <c r="U105" s="280">
        <f>MMULT(INDEX(ReportAssetWeightsBaseline,ROW()-ROW(P$95),1):INDEX(ReportAssetWeightsBaseline,ROW()-ROW(P$95),NumberOfAssets),INT(INDEX(tblAssetMenuSpecs[Is Real Estate Other Developed Markets],1):(INDEX(tblAssetMenuSpecs[Is Real Estate Other Developed Markets],NumberOfAssets))))</f>
        <v>0</v>
      </c>
      <c r="V105" s="280">
        <f>MMULT(INDEX(ReportAssetWeightsBaseline,ROW()-ROW(Q$95),1):INDEX(ReportAssetWeightsBaseline,ROW()-ROW(Q$95),NumberOfAssets),INT(INDEX(tblAssetMenuSpecs[Is Real Estate Commercial EU (non-leveraged)],1):(INDEX(tblAssetMenuSpecs[Is Real Estate Commercial EU (non-leveraged)],NumberOfAssets))))</f>
        <v>0</v>
      </c>
      <c r="W105" s="280">
        <f>MMULT(INDEX(ReportAssetWeightsBaseline,ROW()-ROW(P$95),1):INDEX(ReportAssetWeightsBaseline,ROW()-ROW(P$95),NumberOfAssets),INT(INDEX(tblAssetMenuSpecs[Is Real Estate Residential EU (non-leveraged)],1):(INDEX(tblAssetMenuSpecs[Is Real Estate Residential EU (non-leveraged)],NumberOfAssets))))</f>
        <v>0</v>
      </c>
      <c r="X105" s="280">
        <f>MMULT(INDEX(ReportAssetWeightsBaseline,ROW()-ROW(Q$95),1):INDEX(ReportAssetWeightsBaseline,ROW()-ROW(Q$95),NumberOfAssets),INT(INDEX(tblAssetMenuSpecs[Is Government Bond EU],1):(INDEX(tblAssetMenuSpecs[Is Government Bond EU],NumberOfAssets))))</f>
        <v>0</v>
      </c>
      <c r="Y105" s="280">
        <f>MMULT(INDEX(ReportAssetWeightsBaseline,ROW()-ROW(R$95),1):INDEX(ReportAssetWeightsBaseline,ROW()-ROW(R$95),NumberOfAssets),INT(INDEX(tblAssetMenuSpecs[Is Government Bond US],1):(INDEX(tblAssetMenuSpecs[Is Government Bond US],NumberOfAssets))))</f>
        <v>0</v>
      </c>
      <c r="Z105" s="280">
        <f>MMULT(INDEX(ReportAssetWeightsBaseline,ROW()-ROW(S$95),1):INDEX(ReportAssetWeightsBaseline,ROW()-ROW(S$95),NumberOfAssets),INT(INDEX(tblAssetMenuSpecs[Is Government Bond Other Developed Markets],1):(INDEX(tblAssetMenuSpecs[Is Government Bond Other Developed Markets],NumberOfAssets))))</f>
        <v>0</v>
      </c>
      <c r="AA105" s="280">
        <f>MMULT(INDEX(ReportAssetWeightsBaseline,ROW()-ROW(T$95),1):INDEX(ReportAssetWeightsBaseline,ROW()-ROW(T$95),NumberOfAssets),INT(INDEX(tblAssetMenuSpecs[Is Government Bond Emerging Markets],1):(INDEX(tblAssetMenuSpecs[Is Government Bond Emerging Markets],NumberOfAssets))))</f>
        <v>0</v>
      </c>
      <c r="AB105" s="280">
        <f>MMULT(INDEX(ReportAssetWeightsBaseline,ROW()-ROW(W$95),1):INDEX(ReportAssetWeightsBaseline,ROW()-ROW(W$95),NumberOfAssets),INT(INDEX(tblAssetMenuSpecs[Is Corporate Bond],1):(INDEX(tblAssetMenuSpecs[Is Corporate Bond],NumberOfAssets))))</f>
        <v>0</v>
      </c>
      <c r="AC105" s="280">
        <f>MMULT(INDEX(ReportAssetWeightsBaseline,ROW()-ROW(X$95),1):INDEX(ReportAssetWeightsBaseline,ROW()-ROW(X$95),NumberOfAssets),INT(INDEX(tblAssetMenuSpecs[Is Corporate Bond Non-Financial],1):(INDEX(tblAssetMenuSpecs[Is Corporate Bond Non-Financial],NumberOfAssets))))</f>
        <v>0</v>
      </c>
      <c r="AD105" s="280">
        <f>MMULT(INDEX(ReportAssetWeightsBaseline,ROW()-ROW(Y$95),1):INDEX(ReportAssetWeightsBaseline,ROW()-ROW(Y$95),NumberOfAssets),INT(INDEX(tblAssetMenuSpecs[Is Corporate Bond Financial],1):(INDEX(tblAssetMenuSpecs[Is Corporate Bond Financial],NumberOfAssets))))</f>
        <v>0</v>
      </c>
      <c r="AE105" s="280">
        <f>MMULT(INDEX(ReportAssetWeightsBaseline,ROW()-ROW(X$95),1):INDEX(ReportAssetWeightsBaseline,ROW()-ROW(X$95),NumberOfAssets),INT(INDEX(tblAssetMenuSpecs[Is Cash and Deposits],1):(INDEX(tblAssetMenuSpecs[Is Cash and Deposits],NumberOfAssets))))</f>
        <v>1</v>
      </c>
    </row>
    <row r="106" spans="6:31" x14ac:dyDescent="0.25">
      <c r="F106" s="278">
        <f t="shared" si="0"/>
        <v>25</v>
      </c>
      <c r="G106" s="279">
        <f>MMULT(INDEX(ReportAssetWeightsBaseline,ROW()-ROW(G$95),1):INDEX(ReportAssetWeightsBaseline,ROW()-ROW(G$95),NumberOfAssets),INT(INDEX(tblAssetMenuSpecs[IsEquities],1):(INDEX(tblAssetMenuSpecs[IsEquities],NumberOfAssets))))</f>
        <v>0</v>
      </c>
      <c r="H106" s="279">
        <f>MMULT(INDEX(ReportAssetWeightsBaseline,ROW()-ROW(H$95),1):INDEX(ReportAssetWeightsBaseline,ROW()-ROW(H$95),NumberOfAssets),INT(INDEX(tblAssetMenuSpecs[IsRealEstate],1):(INDEX(tblAssetMenuSpecs[IsRealEstate],NumberOfAssets))))</f>
        <v>0</v>
      </c>
      <c r="I106" s="279">
        <f>MMULT(INDEX(ReportAssetWeightsBaseline,ROW()-ROW(I$95),1):INDEX(ReportAssetWeightsBaseline,ROW()-ROW(I$95),NumberOfAssets),INT(INDEX(tblAssetMenuSpecs[IsAlternatives],1):(INDEX(tblAssetMenuSpecs[IsAlternatives],NumberOfAssets))))</f>
        <v>0</v>
      </c>
      <c r="J106" s="279">
        <f>MMULT(INDEX(ReportAssetWeightsBaseline,ROW()-ROW(J$95),1):INDEX(ReportAssetWeightsBaseline,ROW()-ROW(J$95),NumberOfAssets),INT(INDEX(tblAssetMenuSpecs[IsFixedIncome],1):(INDEX(tblAssetMenuSpecs[IsFixedIncome],NumberOfAssets))))</f>
        <v>1</v>
      </c>
      <c r="L106" s="280">
        <f>MMULT(INDEX(ReportAssetWeightsBaseline,ROW()-ROW(G$95),1):INDEX(ReportAssetWeightsBaseline,ROW()-ROW(G$95),NumberOfAssets),INT(INDEX(tblAssetMenuSpecs[Is Equities EU],1):(INDEX(tblAssetMenuSpecs[Is Equities EU],NumberOfAssets))))</f>
        <v>0</v>
      </c>
      <c r="M106" s="280">
        <f>MMULT(INDEX(ReportAssetWeightsBaseline,ROW()-ROW(H$95),1):INDEX(ReportAssetWeightsBaseline,ROW()-ROW(H$95),NumberOfAssets),INT(INDEX(tblAssetMenuSpecs[Is Equities US],1):(INDEX(tblAssetMenuSpecs[Is Equities US],NumberOfAssets))))</f>
        <v>0</v>
      </c>
      <c r="N106" s="280">
        <f>MMULT(INDEX(ReportAssetWeightsBaseline,ROW()-ROW(I$95),1):INDEX(ReportAssetWeightsBaseline,ROW()-ROW(I$95),NumberOfAssets),INT(INDEX(tblAssetMenuSpecs[Is Equities Other Developed Markets],1):(INDEX(tblAssetMenuSpecs[Is Equities Other Developed Markets],NumberOfAssets))))</f>
        <v>0</v>
      </c>
      <c r="O106" s="280">
        <f>MMULT(INDEX(ReportAssetWeightsBaseline,ROW()-ROW(J$95),1):INDEX(ReportAssetWeightsBaseline,ROW()-ROW(J$95),NumberOfAssets),INT(INDEX(tblAssetMenuSpecs[Is Equities Emerging Markets],1):(INDEX(tblAssetMenuSpecs[Is Equities Emerging Markets],NumberOfAssets))))</f>
        <v>0</v>
      </c>
      <c r="P106" s="280">
        <f>MMULT(INDEX(ReportAssetWeightsBaseline,ROW()-ROW(K$95),1):INDEX(ReportAssetWeightsBaseline,ROW()-ROW(K$95),NumberOfAssets),INT(INDEX(tblAssetMenuSpecs[Is Commodities],1):(INDEX(tblAssetMenuSpecs[Is Commodities],NumberOfAssets))))</f>
        <v>0</v>
      </c>
      <c r="Q106" s="280">
        <f>MMULT(INDEX(ReportAssetWeightsBaseline,ROW()-ROW(L$95),1):INDEX(ReportAssetWeightsBaseline,ROW()-ROW(L$95),NumberOfAssets),INT(INDEX(tblAssetMenuSpecs[Is Private Equity],1):(INDEX(tblAssetMenuSpecs[Is Private Equity],NumberOfAssets))))</f>
        <v>0</v>
      </c>
      <c r="R106" s="280">
        <f>MMULT(INDEX(ReportAssetWeightsBaseline,ROW()-ROW(M$95),1):INDEX(ReportAssetWeightsBaseline,ROW()-ROW(M$95),NumberOfAssets),INT(INDEX(tblAssetMenuSpecs[Is Hedge Funds],1):(INDEX(tblAssetMenuSpecs[Is Hedge Funds],NumberOfAssets))))</f>
        <v>0</v>
      </c>
      <c r="S106" s="280">
        <f>MMULT(INDEX(ReportAssetWeightsBaseline,ROW()-ROW(N$95),1):INDEX(ReportAssetWeightsBaseline,ROW()-ROW(N$95),NumberOfAssets),INT(INDEX(tblAssetMenuSpecs[Is Real Estate EU],1):(INDEX(tblAssetMenuSpecs[Is Real Estate EU],NumberOfAssets))))</f>
        <v>0</v>
      </c>
      <c r="T106" s="280">
        <f>MMULT(INDEX(ReportAssetWeightsBaseline,ROW()-ROW(O$95),1):INDEX(ReportAssetWeightsBaseline,ROW()-ROW(O$95),NumberOfAssets),INT(INDEX(tblAssetMenuSpecs[Is Real Estate US],1):(INDEX(tblAssetMenuSpecs[Is Real Estate US],NumberOfAssets))))</f>
        <v>0</v>
      </c>
      <c r="U106" s="280">
        <f>MMULT(INDEX(ReportAssetWeightsBaseline,ROW()-ROW(P$95),1):INDEX(ReportAssetWeightsBaseline,ROW()-ROW(P$95),NumberOfAssets),INT(INDEX(tblAssetMenuSpecs[Is Real Estate Other Developed Markets],1):(INDEX(tblAssetMenuSpecs[Is Real Estate Other Developed Markets],NumberOfAssets))))</f>
        <v>0</v>
      </c>
      <c r="V106" s="280">
        <f>MMULT(INDEX(ReportAssetWeightsBaseline,ROW()-ROW(Q$95),1):INDEX(ReportAssetWeightsBaseline,ROW()-ROW(Q$95),NumberOfAssets),INT(INDEX(tblAssetMenuSpecs[Is Real Estate Commercial EU (non-leveraged)],1):(INDEX(tblAssetMenuSpecs[Is Real Estate Commercial EU (non-leveraged)],NumberOfAssets))))</f>
        <v>0</v>
      </c>
      <c r="W106" s="280">
        <f>MMULT(INDEX(ReportAssetWeightsBaseline,ROW()-ROW(P$95),1):INDEX(ReportAssetWeightsBaseline,ROW()-ROW(P$95),NumberOfAssets),INT(INDEX(tblAssetMenuSpecs[Is Real Estate Residential EU (non-leveraged)],1):(INDEX(tblAssetMenuSpecs[Is Real Estate Residential EU (non-leveraged)],NumberOfAssets))))</f>
        <v>0</v>
      </c>
      <c r="X106" s="280">
        <f>MMULT(INDEX(ReportAssetWeightsBaseline,ROW()-ROW(Q$95),1):INDEX(ReportAssetWeightsBaseline,ROW()-ROW(Q$95),NumberOfAssets),INT(INDEX(tblAssetMenuSpecs[Is Government Bond EU],1):(INDEX(tblAssetMenuSpecs[Is Government Bond EU],NumberOfAssets))))</f>
        <v>0</v>
      </c>
      <c r="Y106" s="280">
        <f>MMULT(INDEX(ReportAssetWeightsBaseline,ROW()-ROW(R$95),1):INDEX(ReportAssetWeightsBaseline,ROW()-ROW(R$95),NumberOfAssets),INT(INDEX(tblAssetMenuSpecs[Is Government Bond US],1):(INDEX(tblAssetMenuSpecs[Is Government Bond US],NumberOfAssets))))</f>
        <v>0</v>
      </c>
      <c r="Z106" s="280">
        <f>MMULT(INDEX(ReportAssetWeightsBaseline,ROW()-ROW(S$95),1):INDEX(ReportAssetWeightsBaseline,ROW()-ROW(S$95),NumberOfAssets),INT(INDEX(tblAssetMenuSpecs[Is Government Bond Other Developed Markets],1):(INDEX(tblAssetMenuSpecs[Is Government Bond Other Developed Markets],NumberOfAssets))))</f>
        <v>0</v>
      </c>
      <c r="AA106" s="280">
        <f>MMULT(INDEX(ReportAssetWeightsBaseline,ROW()-ROW(T$95),1):INDEX(ReportAssetWeightsBaseline,ROW()-ROW(T$95),NumberOfAssets),INT(INDEX(tblAssetMenuSpecs[Is Government Bond Emerging Markets],1):(INDEX(tblAssetMenuSpecs[Is Government Bond Emerging Markets],NumberOfAssets))))</f>
        <v>0</v>
      </c>
      <c r="AB106" s="280">
        <f>MMULT(INDEX(ReportAssetWeightsBaseline,ROW()-ROW(W$95),1):INDEX(ReportAssetWeightsBaseline,ROW()-ROW(W$95),NumberOfAssets),INT(INDEX(tblAssetMenuSpecs[Is Corporate Bond],1):(INDEX(tblAssetMenuSpecs[Is Corporate Bond],NumberOfAssets))))</f>
        <v>0</v>
      </c>
      <c r="AC106" s="280">
        <f>MMULT(INDEX(ReportAssetWeightsBaseline,ROW()-ROW(X$95),1):INDEX(ReportAssetWeightsBaseline,ROW()-ROW(X$95),NumberOfAssets),INT(INDEX(tblAssetMenuSpecs[Is Corporate Bond Non-Financial],1):(INDEX(tblAssetMenuSpecs[Is Corporate Bond Non-Financial],NumberOfAssets))))</f>
        <v>0</v>
      </c>
      <c r="AD106" s="280">
        <f>MMULT(INDEX(ReportAssetWeightsBaseline,ROW()-ROW(Y$95),1):INDEX(ReportAssetWeightsBaseline,ROW()-ROW(Y$95),NumberOfAssets),INT(INDEX(tblAssetMenuSpecs[Is Corporate Bond Financial],1):(INDEX(tblAssetMenuSpecs[Is Corporate Bond Financial],NumberOfAssets))))</f>
        <v>0</v>
      </c>
      <c r="AE106" s="280">
        <f>MMULT(INDEX(ReportAssetWeightsBaseline,ROW()-ROW(X$95),1):INDEX(ReportAssetWeightsBaseline,ROW()-ROW(X$95),NumberOfAssets),INT(INDEX(tblAssetMenuSpecs[Is Cash and Deposits],1):(INDEX(tblAssetMenuSpecs[Is Cash and Deposits],NumberOfAssets))))</f>
        <v>1</v>
      </c>
    </row>
    <row r="107" spans="6:31" x14ac:dyDescent="0.25">
      <c r="F107" s="278">
        <f t="shared" si="0"/>
        <v>24</v>
      </c>
      <c r="G107" s="279">
        <f>MMULT(INDEX(ReportAssetWeightsBaseline,ROW()-ROW(G$95),1):INDEX(ReportAssetWeightsBaseline,ROW()-ROW(G$95),NumberOfAssets),INT(INDEX(tblAssetMenuSpecs[IsEquities],1):(INDEX(tblAssetMenuSpecs[IsEquities],NumberOfAssets))))</f>
        <v>0</v>
      </c>
      <c r="H107" s="279">
        <f>MMULT(INDEX(ReportAssetWeightsBaseline,ROW()-ROW(H$95),1):INDEX(ReportAssetWeightsBaseline,ROW()-ROW(H$95),NumberOfAssets),INT(INDEX(tblAssetMenuSpecs[IsRealEstate],1):(INDEX(tblAssetMenuSpecs[IsRealEstate],NumberOfAssets))))</f>
        <v>0</v>
      </c>
      <c r="I107" s="279">
        <f>MMULT(INDEX(ReportAssetWeightsBaseline,ROW()-ROW(I$95),1):INDEX(ReportAssetWeightsBaseline,ROW()-ROW(I$95),NumberOfAssets),INT(INDEX(tblAssetMenuSpecs[IsAlternatives],1):(INDEX(tblAssetMenuSpecs[IsAlternatives],NumberOfAssets))))</f>
        <v>0</v>
      </c>
      <c r="J107" s="279">
        <f>MMULT(INDEX(ReportAssetWeightsBaseline,ROW()-ROW(J$95),1):INDEX(ReportAssetWeightsBaseline,ROW()-ROW(J$95),NumberOfAssets),INT(INDEX(tblAssetMenuSpecs[IsFixedIncome],1):(INDEX(tblAssetMenuSpecs[IsFixedIncome],NumberOfAssets))))</f>
        <v>1</v>
      </c>
      <c r="L107" s="280">
        <f>MMULT(INDEX(ReportAssetWeightsBaseline,ROW()-ROW(G$95),1):INDEX(ReportAssetWeightsBaseline,ROW()-ROW(G$95),NumberOfAssets),INT(INDEX(tblAssetMenuSpecs[Is Equities EU],1):(INDEX(tblAssetMenuSpecs[Is Equities EU],NumberOfAssets))))</f>
        <v>0</v>
      </c>
      <c r="M107" s="280">
        <f>MMULT(INDEX(ReportAssetWeightsBaseline,ROW()-ROW(H$95),1):INDEX(ReportAssetWeightsBaseline,ROW()-ROW(H$95),NumberOfAssets),INT(INDEX(tblAssetMenuSpecs[Is Equities US],1):(INDEX(tblAssetMenuSpecs[Is Equities US],NumberOfAssets))))</f>
        <v>0</v>
      </c>
      <c r="N107" s="280">
        <f>MMULT(INDEX(ReportAssetWeightsBaseline,ROW()-ROW(I$95),1):INDEX(ReportAssetWeightsBaseline,ROW()-ROW(I$95),NumberOfAssets),INT(INDEX(tblAssetMenuSpecs[Is Equities Other Developed Markets],1):(INDEX(tblAssetMenuSpecs[Is Equities Other Developed Markets],NumberOfAssets))))</f>
        <v>0</v>
      </c>
      <c r="O107" s="280">
        <f>MMULT(INDEX(ReportAssetWeightsBaseline,ROW()-ROW(J$95),1):INDEX(ReportAssetWeightsBaseline,ROW()-ROW(J$95),NumberOfAssets),INT(INDEX(tblAssetMenuSpecs[Is Equities Emerging Markets],1):(INDEX(tblAssetMenuSpecs[Is Equities Emerging Markets],NumberOfAssets))))</f>
        <v>0</v>
      </c>
      <c r="P107" s="280">
        <f>MMULT(INDEX(ReportAssetWeightsBaseline,ROW()-ROW(K$95),1):INDEX(ReportAssetWeightsBaseline,ROW()-ROW(K$95),NumberOfAssets),INT(INDEX(tblAssetMenuSpecs[Is Commodities],1):(INDEX(tblAssetMenuSpecs[Is Commodities],NumberOfAssets))))</f>
        <v>0</v>
      </c>
      <c r="Q107" s="280">
        <f>MMULT(INDEX(ReportAssetWeightsBaseline,ROW()-ROW(L$95),1):INDEX(ReportAssetWeightsBaseline,ROW()-ROW(L$95),NumberOfAssets),INT(INDEX(tblAssetMenuSpecs[Is Private Equity],1):(INDEX(tblAssetMenuSpecs[Is Private Equity],NumberOfAssets))))</f>
        <v>0</v>
      </c>
      <c r="R107" s="280">
        <f>MMULT(INDEX(ReportAssetWeightsBaseline,ROW()-ROW(M$95),1):INDEX(ReportAssetWeightsBaseline,ROW()-ROW(M$95),NumberOfAssets),INT(INDEX(tblAssetMenuSpecs[Is Hedge Funds],1):(INDEX(tblAssetMenuSpecs[Is Hedge Funds],NumberOfAssets))))</f>
        <v>0</v>
      </c>
      <c r="S107" s="280">
        <f>MMULT(INDEX(ReportAssetWeightsBaseline,ROW()-ROW(N$95),1):INDEX(ReportAssetWeightsBaseline,ROW()-ROW(N$95),NumberOfAssets),INT(INDEX(tblAssetMenuSpecs[Is Real Estate EU],1):(INDEX(tblAssetMenuSpecs[Is Real Estate EU],NumberOfAssets))))</f>
        <v>0</v>
      </c>
      <c r="T107" s="280">
        <f>MMULT(INDEX(ReportAssetWeightsBaseline,ROW()-ROW(O$95),1):INDEX(ReportAssetWeightsBaseline,ROW()-ROW(O$95),NumberOfAssets),INT(INDEX(tblAssetMenuSpecs[Is Real Estate US],1):(INDEX(tblAssetMenuSpecs[Is Real Estate US],NumberOfAssets))))</f>
        <v>0</v>
      </c>
      <c r="U107" s="280">
        <f>MMULT(INDEX(ReportAssetWeightsBaseline,ROW()-ROW(P$95),1):INDEX(ReportAssetWeightsBaseline,ROW()-ROW(P$95),NumberOfAssets),INT(INDEX(tblAssetMenuSpecs[Is Real Estate Other Developed Markets],1):(INDEX(tblAssetMenuSpecs[Is Real Estate Other Developed Markets],NumberOfAssets))))</f>
        <v>0</v>
      </c>
      <c r="V107" s="280">
        <f>MMULT(INDEX(ReportAssetWeightsBaseline,ROW()-ROW(Q$95),1):INDEX(ReportAssetWeightsBaseline,ROW()-ROW(Q$95),NumberOfAssets),INT(INDEX(tblAssetMenuSpecs[Is Real Estate Commercial EU (non-leveraged)],1):(INDEX(tblAssetMenuSpecs[Is Real Estate Commercial EU (non-leveraged)],NumberOfAssets))))</f>
        <v>0</v>
      </c>
      <c r="W107" s="280">
        <f>MMULT(INDEX(ReportAssetWeightsBaseline,ROW()-ROW(P$95),1):INDEX(ReportAssetWeightsBaseline,ROW()-ROW(P$95),NumberOfAssets),INT(INDEX(tblAssetMenuSpecs[Is Real Estate Residential EU (non-leveraged)],1):(INDEX(tblAssetMenuSpecs[Is Real Estate Residential EU (non-leveraged)],NumberOfAssets))))</f>
        <v>0</v>
      </c>
      <c r="X107" s="280">
        <f>MMULT(INDEX(ReportAssetWeightsBaseline,ROW()-ROW(Q$95),1):INDEX(ReportAssetWeightsBaseline,ROW()-ROW(Q$95),NumberOfAssets),INT(INDEX(tblAssetMenuSpecs[Is Government Bond EU],1):(INDEX(tblAssetMenuSpecs[Is Government Bond EU],NumberOfAssets))))</f>
        <v>0</v>
      </c>
      <c r="Y107" s="280">
        <f>MMULT(INDEX(ReportAssetWeightsBaseline,ROW()-ROW(R$95),1):INDEX(ReportAssetWeightsBaseline,ROW()-ROW(R$95),NumberOfAssets),INT(INDEX(tblAssetMenuSpecs[Is Government Bond US],1):(INDEX(tblAssetMenuSpecs[Is Government Bond US],NumberOfAssets))))</f>
        <v>0</v>
      </c>
      <c r="Z107" s="280">
        <f>MMULT(INDEX(ReportAssetWeightsBaseline,ROW()-ROW(S$95),1):INDEX(ReportAssetWeightsBaseline,ROW()-ROW(S$95),NumberOfAssets),INT(INDEX(tblAssetMenuSpecs[Is Government Bond Other Developed Markets],1):(INDEX(tblAssetMenuSpecs[Is Government Bond Other Developed Markets],NumberOfAssets))))</f>
        <v>0</v>
      </c>
      <c r="AA107" s="280">
        <f>MMULT(INDEX(ReportAssetWeightsBaseline,ROW()-ROW(T$95),1):INDEX(ReportAssetWeightsBaseline,ROW()-ROW(T$95),NumberOfAssets),INT(INDEX(tblAssetMenuSpecs[Is Government Bond Emerging Markets],1):(INDEX(tblAssetMenuSpecs[Is Government Bond Emerging Markets],NumberOfAssets))))</f>
        <v>0</v>
      </c>
      <c r="AB107" s="280">
        <f>MMULT(INDEX(ReportAssetWeightsBaseline,ROW()-ROW(W$95),1):INDEX(ReportAssetWeightsBaseline,ROW()-ROW(W$95),NumberOfAssets),INT(INDEX(tblAssetMenuSpecs[Is Corporate Bond],1):(INDEX(tblAssetMenuSpecs[Is Corporate Bond],NumberOfAssets))))</f>
        <v>0</v>
      </c>
      <c r="AC107" s="280">
        <f>MMULT(INDEX(ReportAssetWeightsBaseline,ROW()-ROW(X$95),1):INDEX(ReportAssetWeightsBaseline,ROW()-ROW(X$95),NumberOfAssets),INT(INDEX(tblAssetMenuSpecs[Is Corporate Bond Non-Financial],1):(INDEX(tblAssetMenuSpecs[Is Corporate Bond Non-Financial],NumberOfAssets))))</f>
        <v>0</v>
      </c>
      <c r="AD107" s="280">
        <f>MMULT(INDEX(ReportAssetWeightsBaseline,ROW()-ROW(Y$95),1):INDEX(ReportAssetWeightsBaseline,ROW()-ROW(Y$95),NumberOfAssets),INT(INDEX(tblAssetMenuSpecs[Is Corporate Bond Financial],1):(INDEX(tblAssetMenuSpecs[Is Corporate Bond Financial],NumberOfAssets))))</f>
        <v>0</v>
      </c>
      <c r="AE107" s="280">
        <f>MMULT(INDEX(ReportAssetWeightsBaseline,ROW()-ROW(X$95),1):INDEX(ReportAssetWeightsBaseline,ROW()-ROW(X$95),NumberOfAssets),INT(INDEX(tblAssetMenuSpecs[Is Cash and Deposits],1):(INDEX(tblAssetMenuSpecs[Is Cash and Deposits],NumberOfAssets))))</f>
        <v>1</v>
      </c>
    </row>
    <row r="108" spans="6:31" x14ac:dyDescent="0.25">
      <c r="F108" s="278">
        <f t="shared" si="0"/>
        <v>23</v>
      </c>
      <c r="G108" s="279">
        <f>MMULT(INDEX(ReportAssetWeightsBaseline,ROW()-ROW(G$95),1):INDEX(ReportAssetWeightsBaseline,ROW()-ROW(G$95),NumberOfAssets),INT(INDEX(tblAssetMenuSpecs[IsEquities],1):(INDEX(tblAssetMenuSpecs[IsEquities],NumberOfAssets))))</f>
        <v>0</v>
      </c>
      <c r="H108" s="279">
        <f>MMULT(INDEX(ReportAssetWeightsBaseline,ROW()-ROW(H$95),1):INDEX(ReportAssetWeightsBaseline,ROW()-ROW(H$95),NumberOfAssets),INT(INDEX(tblAssetMenuSpecs[IsRealEstate],1):(INDEX(tblAssetMenuSpecs[IsRealEstate],NumberOfAssets))))</f>
        <v>0</v>
      </c>
      <c r="I108" s="279">
        <f>MMULT(INDEX(ReportAssetWeightsBaseline,ROW()-ROW(I$95),1):INDEX(ReportAssetWeightsBaseline,ROW()-ROW(I$95),NumberOfAssets),INT(INDEX(tblAssetMenuSpecs[IsAlternatives],1):(INDEX(tblAssetMenuSpecs[IsAlternatives],NumberOfAssets))))</f>
        <v>0</v>
      </c>
      <c r="J108" s="279">
        <f>MMULT(INDEX(ReportAssetWeightsBaseline,ROW()-ROW(J$95),1):INDEX(ReportAssetWeightsBaseline,ROW()-ROW(J$95),NumberOfAssets),INT(INDEX(tblAssetMenuSpecs[IsFixedIncome],1):(INDEX(tblAssetMenuSpecs[IsFixedIncome],NumberOfAssets))))</f>
        <v>1</v>
      </c>
      <c r="L108" s="280">
        <f>MMULT(INDEX(ReportAssetWeightsBaseline,ROW()-ROW(G$95),1):INDEX(ReportAssetWeightsBaseline,ROW()-ROW(G$95),NumberOfAssets),INT(INDEX(tblAssetMenuSpecs[Is Equities EU],1):(INDEX(tblAssetMenuSpecs[Is Equities EU],NumberOfAssets))))</f>
        <v>0</v>
      </c>
      <c r="M108" s="280">
        <f>MMULT(INDEX(ReportAssetWeightsBaseline,ROW()-ROW(H$95),1):INDEX(ReportAssetWeightsBaseline,ROW()-ROW(H$95),NumberOfAssets),INT(INDEX(tblAssetMenuSpecs[Is Equities US],1):(INDEX(tblAssetMenuSpecs[Is Equities US],NumberOfAssets))))</f>
        <v>0</v>
      </c>
      <c r="N108" s="280">
        <f>MMULT(INDEX(ReportAssetWeightsBaseline,ROW()-ROW(I$95),1):INDEX(ReportAssetWeightsBaseline,ROW()-ROW(I$95),NumberOfAssets),INT(INDEX(tblAssetMenuSpecs[Is Equities Other Developed Markets],1):(INDEX(tblAssetMenuSpecs[Is Equities Other Developed Markets],NumberOfAssets))))</f>
        <v>0</v>
      </c>
      <c r="O108" s="280">
        <f>MMULT(INDEX(ReportAssetWeightsBaseline,ROW()-ROW(J$95),1):INDEX(ReportAssetWeightsBaseline,ROW()-ROW(J$95),NumberOfAssets),INT(INDEX(tblAssetMenuSpecs[Is Equities Emerging Markets],1):(INDEX(tblAssetMenuSpecs[Is Equities Emerging Markets],NumberOfAssets))))</f>
        <v>0</v>
      </c>
      <c r="P108" s="280">
        <f>MMULT(INDEX(ReportAssetWeightsBaseline,ROW()-ROW(K$95),1):INDEX(ReportAssetWeightsBaseline,ROW()-ROW(K$95),NumberOfAssets),INT(INDEX(tblAssetMenuSpecs[Is Commodities],1):(INDEX(tblAssetMenuSpecs[Is Commodities],NumberOfAssets))))</f>
        <v>0</v>
      </c>
      <c r="Q108" s="280">
        <f>MMULT(INDEX(ReportAssetWeightsBaseline,ROW()-ROW(L$95),1):INDEX(ReportAssetWeightsBaseline,ROW()-ROW(L$95),NumberOfAssets),INT(INDEX(tblAssetMenuSpecs[Is Private Equity],1):(INDEX(tblAssetMenuSpecs[Is Private Equity],NumberOfAssets))))</f>
        <v>0</v>
      </c>
      <c r="R108" s="280">
        <f>MMULT(INDEX(ReportAssetWeightsBaseline,ROW()-ROW(M$95),1):INDEX(ReportAssetWeightsBaseline,ROW()-ROW(M$95),NumberOfAssets),INT(INDEX(tblAssetMenuSpecs[Is Hedge Funds],1):(INDEX(tblAssetMenuSpecs[Is Hedge Funds],NumberOfAssets))))</f>
        <v>0</v>
      </c>
      <c r="S108" s="280">
        <f>MMULT(INDEX(ReportAssetWeightsBaseline,ROW()-ROW(N$95),1):INDEX(ReportAssetWeightsBaseline,ROW()-ROW(N$95),NumberOfAssets),INT(INDEX(tblAssetMenuSpecs[Is Real Estate EU],1):(INDEX(tblAssetMenuSpecs[Is Real Estate EU],NumberOfAssets))))</f>
        <v>0</v>
      </c>
      <c r="T108" s="280">
        <f>MMULT(INDEX(ReportAssetWeightsBaseline,ROW()-ROW(O$95),1):INDEX(ReportAssetWeightsBaseline,ROW()-ROW(O$95),NumberOfAssets),INT(INDEX(tblAssetMenuSpecs[Is Real Estate US],1):(INDEX(tblAssetMenuSpecs[Is Real Estate US],NumberOfAssets))))</f>
        <v>0</v>
      </c>
      <c r="U108" s="280">
        <f>MMULT(INDEX(ReportAssetWeightsBaseline,ROW()-ROW(P$95),1):INDEX(ReportAssetWeightsBaseline,ROW()-ROW(P$95),NumberOfAssets),INT(INDEX(tblAssetMenuSpecs[Is Real Estate Other Developed Markets],1):(INDEX(tblAssetMenuSpecs[Is Real Estate Other Developed Markets],NumberOfAssets))))</f>
        <v>0</v>
      </c>
      <c r="V108" s="280">
        <f>MMULT(INDEX(ReportAssetWeightsBaseline,ROW()-ROW(Q$95),1):INDEX(ReportAssetWeightsBaseline,ROW()-ROW(Q$95),NumberOfAssets),INT(INDEX(tblAssetMenuSpecs[Is Real Estate Commercial EU (non-leveraged)],1):(INDEX(tblAssetMenuSpecs[Is Real Estate Commercial EU (non-leveraged)],NumberOfAssets))))</f>
        <v>0</v>
      </c>
      <c r="W108" s="280">
        <f>MMULT(INDEX(ReportAssetWeightsBaseline,ROW()-ROW(P$95),1):INDEX(ReportAssetWeightsBaseline,ROW()-ROW(P$95),NumberOfAssets),INT(INDEX(tblAssetMenuSpecs[Is Real Estate Residential EU (non-leveraged)],1):(INDEX(tblAssetMenuSpecs[Is Real Estate Residential EU (non-leveraged)],NumberOfAssets))))</f>
        <v>0</v>
      </c>
      <c r="X108" s="280">
        <f>MMULT(INDEX(ReportAssetWeightsBaseline,ROW()-ROW(Q$95),1):INDEX(ReportAssetWeightsBaseline,ROW()-ROW(Q$95),NumberOfAssets),INT(INDEX(tblAssetMenuSpecs[Is Government Bond EU],1):(INDEX(tblAssetMenuSpecs[Is Government Bond EU],NumberOfAssets))))</f>
        <v>0</v>
      </c>
      <c r="Y108" s="280">
        <f>MMULT(INDEX(ReportAssetWeightsBaseline,ROW()-ROW(R$95),1):INDEX(ReportAssetWeightsBaseline,ROW()-ROW(R$95),NumberOfAssets),INT(INDEX(tblAssetMenuSpecs[Is Government Bond US],1):(INDEX(tblAssetMenuSpecs[Is Government Bond US],NumberOfAssets))))</f>
        <v>0</v>
      </c>
      <c r="Z108" s="280">
        <f>MMULT(INDEX(ReportAssetWeightsBaseline,ROW()-ROW(S$95),1):INDEX(ReportAssetWeightsBaseline,ROW()-ROW(S$95),NumberOfAssets),INT(INDEX(tblAssetMenuSpecs[Is Government Bond Other Developed Markets],1):(INDEX(tblAssetMenuSpecs[Is Government Bond Other Developed Markets],NumberOfAssets))))</f>
        <v>0</v>
      </c>
      <c r="AA108" s="280">
        <f>MMULT(INDEX(ReportAssetWeightsBaseline,ROW()-ROW(T$95),1):INDEX(ReportAssetWeightsBaseline,ROW()-ROW(T$95),NumberOfAssets),INT(INDEX(tblAssetMenuSpecs[Is Government Bond Emerging Markets],1):(INDEX(tblAssetMenuSpecs[Is Government Bond Emerging Markets],NumberOfAssets))))</f>
        <v>0</v>
      </c>
      <c r="AB108" s="280">
        <f>MMULT(INDEX(ReportAssetWeightsBaseline,ROW()-ROW(W$95),1):INDEX(ReportAssetWeightsBaseline,ROW()-ROW(W$95),NumberOfAssets),INT(INDEX(tblAssetMenuSpecs[Is Corporate Bond],1):(INDEX(tblAssetMenuSpecs[Is Corporate Bond],NumberOfAssets))))</f>
        <v>0</v>
      </c>
      <c r="AC108" s="280">
        <f>MMULT(INDEX(ReportAssetWeightsBaseline,ROW()-ROW(X$95),1):INDEX(ReportAssetWeightsBaseline,ROW()-ROW(X$95),NumberOfAssets),INT(INDEX(tblAssetMenuSpecs[Is Corporate Bond Non-Financial],1):(INDEX(tblAssetMenuSpecs[Is Corporate Bond Non-Financial],NumberOfAssets))))</f>
        <v>0</v>
      </c>
      <c r="AD108" s="280">
        <f>MMULT(INDEX(ReportAssetWeightsBaseline,ROW()-ROW(Y$95),1):INDEX(ReportAssetWeightsBaseline,ROW()-ROW(Y$95),NumberOfAssets),INT(INDEX(tblAssetMenuSpecs[Is Corporate Bond Financial],1):(INDEX(tblAssetMenuSpecs[Is Corporate Bond Financial],NumberOfAssets))))</f>
        <v>0</v>
      </c>
      <c r="AE108" s="280">
        <f>MMULT(INDEX(ReportAssetWeightsBaseline,ROW()-ROW(X$95),1):INDEX(ReportAssetWeightsBaseline,ROW()-ROW(X$95),NumberOfAssets),INT(INDEX(tblAssetMenuSpecs[Is Cash and Deposits],1):(INDEX(tblAssetMenuSpecs[Is Cash and Deposits],NumberOfAssets))))</f>
        <v>1</v>
      </c>
    </row>
    <row r="109" spans="6:31" x14ac:dyDescent="0.25">
      <c r="F109" s="278">
        <f t="shared" si="0"/>
        <v>22</v>
      </c>
      <c r="G109" s="279">
        <f>MMULT(INDEX(ReportAssetWeightsBaseline,ROW()-ROW(G$95),1):INDEX(ReportAssetWeightsBaseline,ROW()-ROW(G$95),NumberOfAssets),INT(INDEX(tblAssetMenuSpecs[IsEquities],1):(INDEX(tblAssetMenuSpecs[IsEquities],NumberOfAssets))))</f>
        <v>0</v>
      </c>
      <c r="H109" s="279">
        <f>MMULT(INDEX(ReportAssetWeightsBaseline,ROW()-ROW(H$95),1):INDEX(ReportAssetWeightsBaseline,ROW()-ROW(H$95),NumberOfAssets),INT(INDEX(tblAssetMenuSpecs[IsRealEstate],1):(INDEX(tblAssetMenuSpecs[IsRealEstate],NumberOfAssets))))</f>
        <v>0</v>
      </c>
      <c r="I109" s="279">
        <f>MMULT(INDEX(ReportAssetWeightsBaseline,ROW()-ROW(I$95),1):INDEX(ReportAssetWeightsBaseline,ROW()-ROW(I$95),NumberOfAssets),INT(INDEX(tblAssetMenuSpecs[IsAlternatives],1):(INDEX(tblAssetMenuSpecs[IsAlternatives],NumberOfAssets))))</f>
        <v>0</v>
      </c>
      <c r="J109" s="279">
        <f>MMULT(INDEX(ReportAssetWeightsBaseline,ROW()-ROW(J$95),1):INDEX(ReportAssetWeightsBaseline,ROW()-ROW(J$95),NumberOfAssets),INT(INDEX(tblAssetMenuSpecs[IsFixedIncome],1):(INDEX(tblAssetMenuSpecs[IsFixedIncome],NumberOfAssets))))</f>
        <v>1</v>
      </c>
      <c r="L109" s="280">
        <f>MMULT(INDEX(ReportAssetWeightsBaseline,ROW()-ROW(G$95),1):INDEX(ReportAssetWeightsBaseline,ROW()-ROW(G$95),NumberOfAssets),INT(INDEX(tblAssetMenuSpecs[Is Equities EU],1):(INDEX(tblAssetMenuSpecs[Is Equities EU],NumberOfAssets))))</f>
        <v>0</v>
      </c>
      <c r="M109" s="280">
        <f>MMULT(INDEX(ReportAssetWeightsBaseline,ROW()-ROW(H$95),1):INDEX(ReportAssetWeightsBaseline,ROW()-ROW(H$95),NumberOfAssets),INT(INDEX(tblAssetMenuSpecs[Is Equities US],1):(INDEX(tblAssetMenuSpecs[Is Equities US],NumberOfAssets))))</f>
        <v>0</v>
      </c>
      <c r="N109" s="280">
        <f>MMULT(INDEX(ReportAssetWeightsBaseline,ROW()-ROW(I$95),1):INDEX(ReportAssetWeightsBaseline,ROW()-ROW(I$95),NumberOfAssets),INT(INDEX(tblAssetMenuSpecs[Is Equities Other Developed Markets],1):(INDEX(tblAssetMenuSpecs[Is Equities Other Developed Markets],NumberOfAssets))))</f>
        <v>0</v>
      </c>
      <c r="O109" s="280">
        <f>MMULT(INDEX(ReportAssetWeightsBaseline,ROW()-ROW(J$95),1):INDEX(ReportAssetWeightsBaseline,ROW()-ROW(J$95),NumberOfAssets),INT(INDEX(tblAssetMenuSpecs[Is Equities Emerging Markets],1):(INDEX(tblAssetMenuSpecs[Is Equities Emerging Markets],NumberOfAssets))))</f>
        <v>0</v>
      </c>
      <c r="P109" s="280">
        <f>MMULT(INDEX(ReportAssetWeightsBaseline,ROW()-ROW(K$95),1):INDEX(ReportAssetWeightsBaseline,ROW()-ROW(K$95),NumberOfAssets),INT(INDEX(tblAssetMenuSpecs[Is Commodities],1):(INDEX(tblAssetMenuSpecs[Is Commodities],NumberOfAssets))))</f>
        <v>0</v>
      </c>
      <c r="Q109" s="280">
        <f>MMULT(INDEX(ReportAssetWeightsBaseline,ROW()-ROW(L$95),1):INDEX(ReportAssetWeightsBaseline,ROW()-ROW(L$95),NumberOfAssets),INT(INDEX(tblAssetMenuSpecs[Is Private Equity],1):(INDEX(tblAssetMenuSpecs[Is Private Equity],NumberOfAssets))))</f>
        <v>0</v>
      </c>
      <c r="R109" s="280">
        <f>MMULT(INDEX(ReportAssetWeightsBaseline,ROW()-ROW(M$95),1):INDEX(ReportAssetWeightsBaseline,ROW()-ROW(M$95),NumberOfAssets),INT(INDEX(tblAssetMenuSpecs[Is Hedge Funds],1):(INDEX(tblAssetMenuSpecs[Is Hedge Funds],NumberOfAssets))))</f>
        <v>0</v>
      </c>
      <c r="S109" s="280">
        <f>MMULT(INDEX(ReportAssetWeightsBaseline,ROW()-ROW(N$95),1):INDEX(ReportAssetWeightsBaseline,ROW()-ROW(N$95),NumberOfAssets),INT(INDEX(tblAssetMenuSpecs[Is Real Estate EU],1):(INDEX(tblAssetMenuSpecs[Is Real Estate EU],NumberOfAssets))))</f>
        <v>0</v>
      </c>
      <c r="T109" s="280">
        <f>MMULT(INDEX(ReportAssetWeightsBaseline,ROW()-ROW(O$95),1):INDEX(ReportAssetWeightsBaseline,ROW()-ROW(O$95),NumberOfAssets),INT(INDEX(tblAssetMenuSpecs[Is Real Estate US],1):(INDEX(tblAssetMenuSpecs[Is Real Estate US],NumberOfAssets))))</f>
        <v>0</v>
      </c>
      <c r="U109" s="280">
        <f>MMULT(INDEX(ReportAssetWeightsBaseline,ROW()-ROW(P$95),1):INDEX(ReportAssetWeightsBaseline,ROW()-ROW(P$95),NumberOfAssets),INT(INDEX(tblAssetMenuSpecs[Is Real Estate Other Developed Markets],1):(INDEX(tblAssetMenuSpecs[Is Real Estate Other Developed Markets],NumberOfAssets))))</f>
        <v>0</v>
      </c>
      <c r="V109" s="280">
        <f>MMULT(INDEX(ReportAssetWeightsBaseline,ROW()-ROW(Q$95),1):INDEX(ReportAssetWeightsBaseline,ROW()-ROW(Q$95),NumberOfAssets),INT(INDEX(tblAssetMenuSpecs[Is Real Estate Commercial EU (non-leveraged)],1):(INDEX(tblAssetMenuSpecs[Is Real Estate Commercial EU (non-leveraged)],NumberOfAssets))))</f>
        <v>0</v>
      </c>
      <c r="W109" s="280">
        <f>MMULT(INDEX(ReportAssetWeightsBaseline,ROW()-ROW(P$95),1):INDEX(ReportAssetWeightsBaseline,ROW()-ROW(P$95),NumberOfAssets),INT(INDEX(tblAssetMenuSpecs[Is Real Estate Residential EU (non-leveraged)],1):(INDEX(tblAssetMenuSpecs[Is Real Estate Residential EU (non-leveraged)],NumberOfAssets))))</f>
        <v>0</v>
      </c>
      <c r="X109" s="280">
        <f>MMULT(INDEX(ReportAssetWeightsBaseline,ROW()-ROW(Q$95),1):INDEX(ReportAssetWeightsBaseline,ROW()-ROW(Q$95),NumberOfAssets),INT(INDEX(tblAssetMenuSpecs[Is Government Bond EU],1):(INDEX(tblAssetMenuSpecs[Is Government Bond EU],NumberOfAssets))))</f>
        <v>0</v>
      </c>
      <c r="Y109" s="280">
        <f>MMULT(INDEX(ReportAssetWeightsBaseline,ROW()-ROW(R$95),1):INDEX(ReportAssetWeightsBaseline,ROW()-ROW(R$95),NumberOfAssets),INT(INDEX(tblAssetMenuSpecs[Is Government Bond US],1):(INDEX(tblAssetMenuSpecs[Is Government Bond US],NumberOfAssets))))</f>
        <v>0</v>
      </c>
      <c r="Z109" s="280">
        <f>MMULT(INDEX(ReportAssetWeightsBaseline,ROW()-ROW(S$95),1):INDEX(ReportAssetWeightsBaseline,ROW()-ROW(S$95),NumberOfAssets),INT(INDEX(tblAssetMenuSpecs[Is Government Bond Other Developed Markets],1):(INDEX(tblAssetMenuSpecs[Is Government Bond Other Developed Markets],NumberOfAssets))))</f>
        <v>0</v>
      </c>
      <c r="AA109" s="280">
        <f>MMULT(INDEX(ReportAssetWeightsBaseline,ROW()-ROW(T$95),1):INDEX(ReportAssetWeightsBaseline,ROW()-ROW(T$95),NumberOfAssets),INT(INDEX(tblAssetMenuSpecs[Is Government Bond Emerging Markets],1):(INDEX(tblAssetMenuSpecs[Is Government Bond Emerging Markets],NumberOfAssets))))</f>
        <v>0</v>
      </c>
      <c r="AB109" s="280">
        <f>MMULT(INDEX(ReportAssetWeightsBaseline,ROW()-ROW(W$95),1):INDEX(ReportAssetWeightsBaseline,ROW()-ROW(W$95),NumberOfAssets),INT(INDEX(tblAssetMenuSpecs[Is Corporate Bond],1):(INDEX(tblAssetMenuSpecs[Is Corporate Bond],NumberOfAssets))))</f>
        <v>0</v>
      </c>
      <c r="AC109" s="280">
        <f>MMULT(INDEX(ReportAssetWeightsBaseline,ROW()-ROW(X$95),1):INDEX(ReportAssetWeightsBaseline,ROW()-ROW(X$95),NumberOfAssets),INT(INDEX(tblAssetMenuSpecs[Is Corporate Bond Non-Financial],1):(INDEX(tblAssetMenuSpecs[Is Corporate Bond Non-Financial],NumberOfAssets))))</f>
        <v>0</v>
      </c>
      <c r="AD109" s="280">
        <f>MMULT(INDEX(ReportAssetWeightsBaseline,ROW()-ROW(Y$95),1):INDEX(ReportAssetWeightsBaseline,ROW()-ROW(Y$95),NumberOfAssets),INT(INDEX(tblAssetMenuSpecs[Is Corporate Bond Financial],1):(INDEX(tblAssetMenuSpecs[Is Corporate Bond Financial],NumberOfAssets))))</f>
        <v>0</v>
      </c>
      <c r="AE109" s="280">
        <f>MMULT(INDEX(ReportAssetWeightsBaseline,ROW()-ROW(X$95),1):INDEX(ReportAssetWeightsBaseline,ROW()-ROW(X$95),NumberOfAssets),INT(INDEX(tblAssetMenuSpecs[Is Cash and Deposits],1):(INDEX(tblAssetMenuSpecs[Is Cash and Deposits],NumberOfAssets))))</f>
        <v>1</v>
      </c>
    </row>
    <row r="110" spans="6:31" x14ac:dyDescent="0.25">
      <c r="F110" s="278">
        <f t="shared" si="0"/>
        <v>21</v>
      </c>
      <c r="G110" s="279">
        <f>MMULT(INDEX(ReportAssetWeightsBaseline,ROW()-ROW(G$95),1):INDEX(ReportAssetWeightsBaseline,ROW()-ROW(G$95),NumberOfAssets),INT(INDEX(tblAssetMenuSpecs[IsEquities],1):(INDEX(tblAssetMenuSpecs[IsEquities],NumberOfAssets))))</f>
        <v>0</v>
      </c>
      <c r="H110" s="279">
        <f>MMULT(INDEX(ReportAssetWeightsBaseline,ROW()-ROW(H$95),1):INDEX(ReportAssetWeightsBaseline,ROW()-ROW(H$95),NumberOfAssets),INT(INDEX(tblAssetMenuSpecs[IsRealEstate],1):(INDEX(tblAssetMenuSpecs[IsRealEstate],NumberOfAssets))))</f>
        <v>0</v>
      </c>
      <c r="I110" s="279">
        <f>MMULT(INDEX(ReportAssetWeightsBaseline,ROW()-ROW(I$95),1):INDEX(ReportAssetWeightsBaseline,ROW()-ROW(I$95),NumberOfAssets),INT(INDEX(tblAssetMenuSpecs[IsAlternatives],1):(INDEX(tblAssetMenuSpecs[IsAlternatives],NumberOfAssets))))</f>
        <v>0</v>
      </c>
      <c r="J110" s="279">
        <f>MMULT(INDEX(ReportAssetWeightsBaseline,ROW()-ROW(J$95),1):INDEX(ReportAssetWeightsBaseline,ROW()-ROW(J$95),NumberOfAssets),INT(INDEX(tblAssetMenuSpecs[IsFixedIncome],1):(INDEX(tblAssetMenuSpecs[IsFixedIncome],NumberOfAssets))))</f>
        <v>1</v>
      </c>
      <c r="L110" s="280">
        <f>MMULT(INDEX(ReportAssetWeightsBaseline,ROW()-ROW(G$95),1):INDEX(ReportAssetWeightsBaseline,ROW()-ROW(G$95),NumberOfAssets),INT(INDEX(tblAssetMenuSpecs[Is Equities EU],1):(INDEX(tblAssetMenuSpecs[Is Equities EU],NumberOfAssets))))</f>
        <v>0</v>
      </c>
      <c r="M110" s="280">
        <f>MMULT(INDEX(ReportAssetWeightsBaseline,ROW()-ROW(H$95),1):INDEX(ReportAssetWeightsBaseline,ROW()-ROW(H$95),NumberOfAssets),INT(INDEX(tblAssetMenuSpecs[Is Equities US],1):(INDEX(tblAssetMenuSpecs[Is Equities US],NumberOfAssets))))</f>
        <v>0</v>
      </c>
      <c r="N110" s="280">
        <f>MMULT(INDEX(ReportAssetWeightsBaseline,ROW()-ROW(I$95),1):INDEX(ReportAssetWeightsBaseline,ROW()-ROW(I$95),NumberOfAssets),INT(INDEX(tblAssetMenuSpecs[Is Equities Other Developed Markets],1):(INDEX(tblAssetMenuSpecs[Is Equities Other Developed Markets],NumberOfAssets))))</f>
        <v>0</v>
      </c>
      <c r="O110" s="280">
        <f>MMULT(INDEX(ReportAssetWeightsBaseline,ROW()-ROW(J$95),1):INDEX(ReportAssetWeightsBaseline,ROW()-ROW(J$95),NumberOfAssets),INT(INDEX(tblAssetMenuSpecs[Is Equities Emerging Markets],1):(INDEX(tblAssetMenuSpecs[Is Equities Emerging Markets],NumberOfAssets))))</f>
        <v>0</v>
      </c>
      <c r="P110" s="280">
        <f>MMULT(INDEX(ReportAssetWeightsBaseline,ROW()-ROW(K$95),1):INDEX(ReportAssetWeightsBaseline,ROW()-ROW(K$95),NumberOfAssets),INT(INDEX(tblAssetMenuSpecs[Is Commodities],1):(INDEX(tblAssetMenuSpecs[Is Commodities],NumberOfAssets))))</f>
        <v>0</v>
      </c>
      <c r="Q110" s="280">
        <f>MMULT(INDEX(ReportAssetWeightsBaseline,ROW()-ROW(L$95),1):INDEX(ReportAssetWeightsBaseline,ROW()-ROW(L$95),NumberOfAssets),INT(INDEX(tblAssetMenuSpecs[Is Private Equity],1):(INDEX(tblAssetMenuSpecs[Is Private Equity],NumberOfAssets))))</f>
        <v>0</v>
      </c>
      <c r="R110" s="280">
        <f>MMULT(INDEX(ReportAssetWeightsBaseline,ROW()-ROW(M$95),1):INDEX(ReportAssetWeightsBaseline,ROW()-ROW(M$95),NumberOfAssets),INT(INDEX(tblAssetMenuSpecs[Is Hedge Funds],1):(INDEX(tblAssetMenuSpecs[Is Hedge Funds],NumberOfAssets))))</f>
        <v>0</v>
      </c>
      <c r="S110" s="280">
        <f>MMULT(INDEX(ReportAssetWeightsBaseline,ROW()-ROW(N$95),1):INDEX(ReportAssetWeightsBaseline,ROW()-ROW(N$95),NumberOfAssets),INT(INDEX(tblAssetMenuSpecs[Is Real Estate EU],1):(INDEX(tblAssetMenuSpecs[Is Real Estate EU],NumberOfAssets))))</f>
        <v>0</v>
      </c>
      <c r="T110" s="280">
        <f>MMULT(INDEX(ReportAssetWeightsBaseline,ROW()-ROW(O$95),1):INDEX(ReportAssetWeightsBaseline,ROW()-ROW(O$95),NumberOfAssets),INT(INDEX(tblAssetMenuSpecs[Is Real Estate US],1):(INDEX(tblAssetMenuSpecs[Is Real Estate US],NumberOfAssets))))</f>
        <v>0</v>
      </c>
      <c r="U110" s="280">
        <f>MMULT(INDEX(ReportAssetWeightsBaseline,ROW()-ROW(P$95),1):INDEX(ReportAssetWeightsBaseline,ROW()-ROW(P$95),NumberOfAssets),INT(INDEX(tblAssetMenuSpecs[Is Real Estate Other Developed Markets],1):(INDEX(tblAssetMenuSpecs[Is Real Estate Other Developed Markets],NumberOfAssets))))</f>
        <v>0</v>
      </c>
      <c r="V110" s="280">
        <f>MMULT(INDEX(ReportAssetWeightsBaseline,ROW()-ROW(Q$95),1):INDEX(ReportAssetWeightsBaseline,ROW()-ROW(Q$95),NumberOfAssets),INT(INDEX(tblAssetMenuSpecs[Is Real Estate Commercial EU (non-leveraged)],1):(INDEX(tblAssetMenuSpecs[Is Real Estate Commercial EU (non-leveraged)],NumberOfAssets))))</f>
        <v>0</v>
      </c>
      <c r="W110" s="280">
        <f>MMULT(INDEX(ReportAssetWeightsBaseline,ROW()-ROW(P$95),1):INDEX(ReportAssetWeightsBaseline,ROW()-ROW(P$95),NumberOfAssets),INT(INDEX(tblAssetMenuSpecs[Is Real Estate Residential EU (non-leveraged)],1):(INDEX(tblAssetMenuSpecs[Is Real Estate Residential EU (non-leveraged)],NumberOfAssets))))</f>
        <v>0</v>
      </c>
      <c r="X110" s="280">
        <f>MMULT(INDEX(ReportAssetWeightsBaseline,ROW()-ROW(Q$95),1):INDEX(ReportAssetWeightsBaseline,ROW()-ROW(Q$95),NumberOfAssets),INT(INDEX(tblAssetMenuSpecs[Is Government Bond EU],1):(INDEX(tblAssetMenuSpecs[Is Government Bond EU],NumberOfAssets))))</f>
        <v>0</v>
      </c>
      <c r="Y110" s="280">
        <f>MMULT(INDEX(ReportAssetWeightsBaseline,ROW()-ROW(R$95),1):INDEX(ReportAssetWeightsBaseline,ROW()-ROW(R$95),NumberOfAssets),INT(INDEX(tblAssetMenuSpecs[Is Government Bond US],1):(INDEX(tblAssetMenuSpecs[Is Government Bond US],NumberOfAssets))))</f>
        <v>0</v>
      </c>
      <c r="Z110" s="280">
        <f>MMULT(INDEX(ReportAssetWeightsBaseline,ROW()-ROW(S$95),1):INDEX(ReportAssetWeightsBaseline,ROW()-ROW(S$95),NumberOfAssets),INT(INDEX(tblAssetMenuSpecs[Is Government Bond Other Developed Markets],1):(INDEX(tblAssetMenuSpecs[Is Government Bond Other Developed Markets],NumberOfAssets))))</f>
        <v>0</v>
      </c>
      <c r="AA110" s="280">
        <f>MMULT(INDEX(ReportAssetWeightsBaseline,ROW()-ROW(T$95),1):INDEX(ReportAssetWeightsBaseline,ROW()-ROW(T$95),NumberOfAssets),INT(INDEX(tblAssetMenuSpecs[Is Government Bond Emerging Markets],1):(INDEX(tblAssetMenuSpecs[Is Government Bond Emerging Markets],NumberOfAssets))))</f>
        <v>0</v>
      </c>
      <c r="AB110" s="280">
        <f>MMULT(INDEX(ReportAssetWeightsBaseline,ROW()-ROW(W$95),1):INDEX(ReportAssetWeightsBaseline,ROW()-ROW(W$95),NumberOfAssets),INT(INDEX(tblAssetMenuSpecs[Is Corporate Bond],1):(INDEX(tblAssetMenuSpecs[Is Corporate Bond],NumberOfAssets))))</f>
        <v>0</v>
      </c>
      <c r="AC110" s="280">
        <f>MMULT(INDEX(ReportAssetWeightsBaseline,ROW()-ROW(X$95),1):INDEX(ReportAssetWeightsBaseline,ROW()-ROW(X$95),NumberOfAssets),INT(INDEX(tblAssetMenuSpecs[Is Corporate Bond Non-Financial],1):(INDEX(tblAssetMenuSpecs[Is Corporate Bond Non-Financial],NumberOfAssets))))</f>
        <v>0</v>
      </c>
      <c r="AD110" s="280">
        <f>MMULT(INDEX(ReportAssetWeightsBaseline,ROW()-ROW(Y$95),1):INDEX(ReportAssetWeightsBaseline,ROW()-ROW(Y$95),NumberOfAssets),INT(INDEX(tblAssetMenuSpecs[Is Corporate Bond Financial],1):(INDEX(tblAssetMenuSpecs[Is Corporate Bond Financial],NumberOfAssets))))</f>
        <v>0</v>
      </c>
      <c r="AE110" s="280">
        <f>MMULT(INDEX(ReportAssetWeightsBaseline,ROW()-ROW(X$95),1):INDEX(ReportAssetWeightsBaseline,ROW()-ROW(X$95),NumberOfAssets),INT(INDEX(tblAssetMenuSpecs[Is Cash and Deposits],1):(INDEX(tblAssetMenuSpecs[Is Cash and Deposits],NumberOfAssets))))</f>
        <v>1</v>
      </c>
    </row>
    <row r="111" spans="6:31" x14ac:dyDescent="0.25">
      <c r="F111" s="278">
        <f t="shared" si="0"/>
        <v>20</v>
      </c>
      <c r="G111" s="279">
        <f>MMULT(INDEX(ReportAssetWeightsBaseline,ROW()-ROW(G$95),1):INDEX(ReportAssetWeightsBaseline,ROW()-ROW(G$95),NumberOfAssets),INT(INDEX(tblAssetMenuSpecs[IsEquities],1):(INDEX(tblAssetMenuSpecs[IsEquities],NumberOfAssets))))</f>
        <v>0</v>
      </c>
      <c r="H111" s="279">
        <f>MMULT(INDEX(ReportAssetWeightsBaseline,ROW()-ROW(H$95),1):INDEX(ReportAssetWeightsBaseline,ROW()-ROW(H$95),NumberOfAssets),INT(INDEX(tblAssetMenuSpecs[IsRealEstate],1):(INDEX(tblAssetMenuSpecs[IsRealEstate],NumberOfAssets))))</f>
        <v>0</v>
      </c>
      <c r="I111" s="279">
        <f>MMULT(INDEX(ReportAssetWeightsBaseline,ROW()-ROW(I$95),1):INDEX(ReportAssetWeightsBaseline,ROW()-ROW(I$95),NumberOfAssets),INT(INDEX(tblAssetMenuSpecs[IsAlternatives],1):(INDEX(tblAssetMenuSpecs[IsAlternatives],NumberOfAssets))))</f>
        <v>0</v>
      </c>
      <c r="J111" s="279">
        <f>MMULT(INDEX(ReportAssetWeightsBaseline,ROW()-ROW(J$95),1):INDEX(ReportAssetWeightsBaseline,ROW()-ROW(J$95),NumberOfAssets),INT(INDEX(tblAssetMenuSpecs[IsFixedIncome],1):(INDEX(tblAssetMenuSpecs[IsFixedIncome],NumberOfAssets))))</f>
        <v>1</v>
      </c>
      <c r="L111" s="280">
        <f>MMULT(INDEX(ReportAssetWeightsBaseline,ROW()-ROW(G$95),1):INDEX(ReportAssetWeightsBaseline,ROW()-ROW(G$95),NumberOfAssets),INT(INDEX(tblAssetMenuSpecs[Is Equities EU],1):(INDEX(tblAssetMenuSpecs[Is Equities EU],NumberOfAssets))))</f>
        <v>0</v>
      </c>
      <c r="M111" s="280">
        <f>MMULT(INDEX(ReportAssetWeightsBaseline,ROW()-ROW(H$95),1):INDEX(ReportAssetWeightsBaseline,ROW()-ROW(H$95),NumberOfAssets),INT(INDEX(tblAssetMenuSpecs[Is Equities US],1):(INDEX(tblAssetMenuSpecs[Is Equities US],NumberOfAssets))))</f>
        <v>0</v>
      </c>
      <c r="N111" s="280">
        <f>MMULT(INDEX(ReportAssetWeightsBaseline,ROW()-ROW(I$95),1):INDEX(ReportAssetWeightsBaseline,ROW()-ROW(I$95),NumberOfAssets),INT(INDEX(tblAssetMenuSpecs[Is Equities Other Developed Markets],1):(INDEX(tblAssetMenuSpecs[Is Equities Other Developed Markets],NumberOfAssets))))</f>
        <v>0</v>
      </c>
      <c r="O111" s="280">
        <f>MMULT(INDEX(ReportAssetWeightsBaseline,ROW()-ROW(J$95),1):INDEX(ReportAssetWeightsBaseline,ROW()-ROW(J$95),NumberOfAssets),INT(INDEX(tblAssetMenuSpecs[Is Equities Emerging Markets],1):(INDEX(tblAssetMenuSpecs[Is Equities Emerging Markets],NumberOfAssets))))</f>
        <v>0</v>
      </c>
      <c r="P111" s="280">
        <f>MMULT(INDEX(ReportAssetWeightsBaseline,ROW()-ROW(K$95),1):INDEX(ReportAssetWeightsBaseline,ROW()-ROW(K$95),NumberOfAssets),INT(INDEX(tblAssetMenuSpecs[Is Commodities],1):(INDEX(tblAssetMenuSpecs[Is Commodities],NumberOfAssets))))</f>
        <v>0</v>
      </c>
      <c r="Q111" s="280">
        <f>MMULT(INDEX(ReportAssetWeightsBaseline,ROW()-ROW(L$95),1):INDEX(ReportAssetWeightsBaseline,ROW()-ROW(L$95),NumberOfAssets),INT(INDEX(tblAssetMenuSpecs[Is Private Equity],1):(INDEX(tblAssetMenuSpecs[Is Private Equity],NumberOfAssets))))</f>
        <v>0</v>
      </c>
      <c r="R111" s="280">
        <f>MMULT(INDEX(ReportAssetWeightsBaseline,ROW()-ROW(M$95),1):INDEX(ReportAssetWeightsBaseline,ROW()-ROW(M$95),NumberOfAssets),INT(INDEX(tblAssetMenuSpecs[Is Hedge Funds],1):(INDEX(tblAssetMenuSpecs[Is Hedge Funds],NumberOfAssets))))</f>
        <v>0</v>
      </c>
      <c r="S111" s="280">
        <f>MMULT(INDEX(ReportAssetWeightsBaseline,ROW()-ROW(N$95),1):INDEX(ReportAssetWeightsBaseline,ROW()-ROW(N$95),NumberOfAssets),INT(INDEX(tblAssetMenuSpecs[Is Real Estate EU],1):(INDEX(tblAssetMenuSpecs[Is Real Estate EU],NumberOfAssets))))</f>
        <v>0</v>
      </c>
      <c r="T111" s="280">
        <f>MMULT(INDEX(ReportAssetWeightsBaseline,ROW()-ROW(O$95),1):INDEX(ReportAssetWeightsBaseline,ROW()-ROW(O$95),NumberOfAssets),INT(INDEX(tblAssetMenuSpecs[Is Real Estate US],1):(INDEX(tblAssetMenuSpecs[Is Real Estate US],NumberOfAssets))))</f>
        <v>0</v>
      </c>
      <c r="U111" s="280">
        <f>MMULT(INDEX(ReportAssetWeightsBaseline,ROW()-ROW(P$95),1):INDEX(ReportAssetWeightsBaseline,ROW()-ROW(P$95),NumberOfAssets),INT(INDEX(tblAssetMenuSpecs[Is Real Estate Other Developed Markets],1):(INDEX(tblAssetMenuSpecs[Is Real Estate Other Developed Markets],NumberOfAssets))))</f>
        <v>0</v>
      </c>
      <c r="V111" s="280">
        <f>MMULT(INDEX(ReportAssetWeightsBaseline,ROW()-ROW(Q$95),1):INDEX(ReportAssetWeightsBaseline,ROW()-ROW(Q$95),NumberOfAssets),INT(INDEX(tblAssetMenuSpecs[Is Real Estate Commercial EU (non-leveraged)],1):(INDEX(tblAssetMenuSpecs[Is Real Estate Commercial EU (non-leveraged)],NumberOfAssets))))</f>
        <v>0</v>
      </c>
      <c r="W111" s="280">
        <f>MMULT(INDEX(ReportAssetWeightsBaseline,ROW()-ROW(P$95),1):INDEX(ReportAssetWeightsBaseline,ROW()-ROW(P$95),NumberOfAssets),INT(INDEX(tblAssetMenuSpecs[Is Real Estate Residential EU (non-leveraged)],1):(INDEX(tblAssetMenuSpecs[Is Real Estate Residential EU (non-leveraged)],NumberOfAssets))))</f>
        <v>0</v>
      </c>
      <c r="X111" s="280">
        <f>MMULT(INDEX(ReportAssetWeightsBaseline,ROW()-ROW(Q$95),1):INDEX(ReportAssetWeightsBaseline,ROW()-ROW(Q$95),NumberOfAssets),INT(INDEX(tblAssetMenuSpecs[Is Government Bond EU],1):(INDEX(tblAssetMenuSpecs[Is Government Bond EU],NumberOfAssets))))</f>
        <v>0</v>
      </c>
      <c r="Y111" s="280">
        <f>MMULT(INDEX(ReportAssetWeightsBaseline,ROW()-ROW(R$95),1):INDEX(ReportAssetWeightsBaseline,ROW()-ROW(R$95),NumberOfAssets),INT(INDEX(tblAssetMenuSpecs[Is Government Bond US],1):(INDEX(tblAssetMenuSpecs[Is Government Bond US],NumberOfAssets))))</f>
        <v>0</v>
      </c>
      <c r="Z111" s="280">
        <f>MMULT(INDEX(ReportAssetWeightsBaseline,ROW()-ROW(S$95),1):INDEX(ReportAssetWeightsBaseline,ROW()-ROW(S$95),NumberOfAssets),INT(INDEX(tblAssetMenuSpecs[Is Government Bond Other Developed Markets],1):(INDEX(tblAssetMenuSpecs[Is Government Bond Other Developed Markets],NumberOfAssets))))</f>
        <v>0</v>
      </c>
      <c r="AA111" s="280">
        <f>MMULT(INDEX(ReportAssetWeightsBaseline,ROW()-ROW(T$95),1):INDEX(ReportAssetWeightsBaseline,ROW()-ROW(T$95),NumberOfAssets),INT(INDEX(tblAssetMenuSpecs[Is Government Bond Emerging Markets],1):(INDEX(tblAssetMenuSpecs[Is Government Bond Emerging Markets],NumberOfAssets))))</f>
        <v>0</v>
      </c>
      <c r="AB111" s="280">
        <f>MMULT(INDEX(ReportAssetWeightsBaseline,ROW()-ROW(W$95),1):INDEX(ReportAssetWeightsBaseline,ROW()-ROW(W$95),NumberOfAssets),INT(INDEX(tblAssetMenuSpecs[Is Corporate Bond],1):(INDEX(tblAssetMenuSpecs[Is Corporate Bond],NumberOfAssets))))</f>
        <v>0</v>
      </c>
      <c r="AC111" s="280">
        <f>MMULT(INDEX(ReportAssetWeightsBaseline,ROW()-ROW(X$95),1):INDEX(ReportAssetWeightsBaseline,ROW()-ROW(X$95),NumberOfAssets),INT(INDEX(tblAssetMenuSpecs[Is Corporate Bond Non-Financial],1):(INDEX(tblAssetMenuSpecs[Is Corporate Bond Non-Financial],NumberOfAssets))))</f>
        <v>0</v>
      </c>
      <c r="AD111" s="280">
        <f>MMULT(INDEX(ReportAssetWeightsBaseline,ROW()-ROW(Y$95),1):INDEX(ReportAssetWeightsBaseline,ROW()-ROW(Y$95),NumberOfAssets),INT(INDEX(tblAssetMenuSpecs[Is Corporate Bond Financial],1):(INDEX(tblAssetMenuSpecs[Is Corporate Bond Financial],NumberOfAssets))))</f>
        <v>0</v>
      </c>
      <c r="AE111" s="280">
        <f>MMULT(INDEX(ReportAssetWeightsBaseline,ROW()-ROW(X$95),1):INDEX(ReportAssetWeightsBaseline,ROW()-ROW(X$95),NumberOfAssets),INT(INDEX(tblAssetMenuSpecs[Is Cash and Deposits],1):(INDEX(tblAssetMenuSpecs[Is Cash and Deposits],NumberOfAssets))))</f>
        <v>1</v>
      </c>
    </row>
    <row r="112" spans="6:31" x14ac:dyDescent="0.25">
      <c r="F112" s="278">
        <f t="shared" si="0"/>
        <v>19</v>
      </c>
      <c r="G112" s="279">
        <f>MMULT(INDEX(ReportAssetWeightsBaseline,ROW()-ROW(G$95),1):INDEX(ReportAssetWeightsBaseline,ROW()-ROW(G$95),NumberOfAssets),INT(INDEX(tblAssetMenuSpecs[IsEquities],1):(INDEX(tblAssetMenuSpecs[IsEquities],NumberOfAssets))))</f>
        <v>0</v>
      </c>
      <c r="H112" s="279">
        <f>MMULT(INDEX(ReportAssetWeightsBaseline,ROW()-ROW(H$95),1):INDEX(ReportAssetWeightsBaseline,ROW()-ROW(H$95),NumberOfAssets),INT(INDEX(tblAssetMenuSpecs[IsRealEstate],1):(INDEX(tblAssetMenuSpecs[IsRealEstate],NumberOfAssets))))</f>
        <v>0</v>
      </c>
      <c r="I112" s="279">
        <f>MMULT(INDEX(ReportAssetWeightsBaseline,ROW()-ROW(I$95),1):INDEX(ReportAssetWeightsBaseline,ROW()-ROW(I$95),NumberOfAssets),INT(INDEX(tblAssetMenuSpecs[IsAlternatives],1):(INDEX(tblAssetMenuSpecs[IsAlternatives],NumberOfAssets))))</f>
        <v>0</v>
      </c>
      <c r="J112" s="279">
        <f>MMULT(INDEX(ReportAssetWeightsBaseline,ROW()-ROW(J$95),1):INDEX(ReportAssetWeightsBaseline,ROW()-ROW(J$95),NumberOfAssets),INT(INDEX(tblAssetMenuSpecs[IsFixedIncome],1):(INDEX(tblAssetMenuSpecs[IsFixedIncome],NumberOfAssets))))</f>
        <v>1</v>
      </c>
      <c r="L112" s="280">
        <f>MMULT(INDEX(ReportAssetWeightsBaseline,ROW()-ROW(G$95),1):INDEX(ReportAssetWeightsBaseline,ROW()-ROW(G$95),NumberOfAssets),INT(INDEX(tblAssetMenuSpecs[Is Equities EU],1):(INDEX(tblAssetMenuSpecs[Is Equities EU],NumberOfAssets))))</f>
        <v>0</v>
      </c>
      <c r="M112" s="280">
        <f>MMULT(INDEX(ReportAssetWeightsBaseline,ROW()-ROW(H$95),1):INDEX(ReportAssetWeightsBaseline,ROW()-ROW(H$95),NumberOfAssets),INT(INDEX(tblAssetMenuSpecs[Is Equities US],1):(INDEX(tblAssetMenuSpecs[Is Equities US],NumberOfAssets))))</f>
        <v>0</v>
      </c>
      <c r="N112" s="280">
        <f>MMULT(INDEX(ReportAssetWeightsBaseline,ROW()-ROW(I$95),1):INDEX(ReportAssetWeightsBaseline,ROW()-ROW(I$95),NumberOfAssets),INT(INDEX(tblAssetMenuSpecs[Is Equities Other Developed Markets],1):(INDEX(tblAssetMenuSpecs[Is Equities Other Developed Markets],NumberOfAssets))))</f>
        <v>0</v>
      </c>
      <c r="O112" s="280">
        <f>MMULT(INDEX(ReportAssetWeightsBaseline,ROW()-ROW(J$95),1):INDEX(ReportAssetWeightsBaseline,ROW()-ROW(J$95),NumberOfAssets),INT(INDEX(tblAssetMenuSpecs[Is Equities Emerging Markets],1):(INDEX(tblAssetMenuSpecs[Is Equities Emerging Markets],NumberOfAssets))))</f>
        <v>0</v>
      </c>
      <c r="P112" s="280">
        <f>MMULT(INDEX(ReportAssetWeightsBaseline,ROW()-ROW(K$95),1):INDEX(ReportAssetWeightsBaseline,ROW()-ROW(K$95),NumberOfAssets),INT(INDEX(tblAssetMenuSpecs[Is Commodities],1):(INDEX(tblAssetMenuSpecs[Is Commodities],NumberOfAssets))))</f>
        <v>0</v>
      </c>
      <c r="Q112" s="280">
        <f>MMULT(INDEX(ReportAssetWeightsBaseline,ROW()-ROW(L$95),1):INDEX(ReportAssetWeightsBaseline,ROW()-ROW(L$95),NumberOfAssets),INT(INDEX(tblAssetMenuSpecs[Is Private Equity],1):(INDEX(tblAssetMenuSpecs[Is Private Equity],NumberOfAssets))))</f>
        <v>0</v>
      </c>
      <c r="R112" s="280">
        <f>MMULT(INDEX(ReportAssetWeightsBaseline,ROW()-ROW(M$95),1):INDEX(ReportAssetWeightsBaseline,ROW()-ROW(M$95),NumberOfAssets),INT(INDEX(tblAssetMenuSpecs[Is Hedge Funds],1):(INDEX(tblAssetMenuSpecs[Is Hedge Funds],NumberOfAssets))))</f>
        <v>0</v>
      </c>
      <c r="S112" s="280">
        <f>MMULT(INDEX(ReportAssetWeightsBaseline,ROW()-ROW(N$95),1):INDEX(ReportAssetWeightsBaseline,ROW()-ROW(N$95),NumberOfAssets),INT(INDEX(tblAssetMenuSpecs[Is Real Estate EU],1):(INDEX(tblAssetMenuSpecs[Is Real Estate EU],NumberOfAssets))))</f>
        <v>0</v>
      </c>
      <c r="T112" s="280">
        <f>MMULT(INDEX(ReportAssetWeightsBaseline,ROW()-ROW(O$95),1):INDEX(ReportAssetWeightsBaseline,ROW()-ROW(O$95),NumberOfAssets),INT(INDEX(tblAssetMenuSpecs[Is Real Estate US],1):(INDEX(tblAssetMenuSpecs[Is Real Estate US],NumberOfAssets))))</f>
        <v>0</v>
      </c>
      <c r="U112" s="280">
        <f>MMULT(INDEX(ReportAssetWeightsBaseline,ROW()-ROW(P$95),1):INDEX(ReportAssetWeightsBaseline,ROW()-ROW(P$95),NumberOfAssets),INT(INDEX(tblAssetMenuSpecs[Is Real Estate Other Developed Markets],1):(INDEX(tblAssetMenuSpecs[Is Real Estate Other Developed Markets],NumberOfAssets))))</f>
        <v>0</v>
      </c>
      <c r="V112" s="280">
        <f>MMULT(INDEX(ReportAssetWeightsBaseline,ROW()-ROW(Q$95),1):INDEX(ReportAssetWeightsBaseline,ROW()-ROW(Q$95),NumberOfAssets),INT(INDEX(tblAssetMenuSpecs[Is Real Estate Commercial EU (non-leveraged)],1):(INDEX(tblAssetMenuSpecs[Is Real Estate Commercial EU (non-leveraged)],NumberOfAssets))))</f>
        <v>0</v>
      </c>
      <c r="W112" s="280">
        <f>MMULT(INDEX(ReportAssetWeightsBaseline,ROW()-ROW(P$95),1):INDEX(ReportAssetWeightsBaseline,ROW()-ROW(P$95),NumberOfAssets),INT(INDEX(tblAssetMenuSpecs[Is Real Estate Residential EU (non-leveraged)],1):(INDEX(tblAssetMenuSpecs[Is Real Estate Residential EU (non-leveraged)],NumberOfAssets))))</f>
        <v>0</v>
      </c>
      <c r="X112" s="280">
        <f>MMULT(INDEX(ReportAssetWeightsBaseline,ROW()-ROW(Q$95),1):INDEX(ReportAssetWeightsBaseline,ROW()-ROW(Q$95),NumberOfAssets),INT(INDEX(tblAssetMenuSpecs[Is Government Bond EU],1):(INDEX(tblAssetMenuSpecs[Is Government Bond EU],NumberOfAssets))))</f>
        <v>0</v>
      </c>
      <c r="Y112" s="280">
        <f>MMULT(INDEX(ReportAssetWeightsBaseline,ROW()-ROW(R$95),1):INDEX(ReportAssetWeightsBaseline,ROW()-ROW(R$95),NumberOfAssets),INT(INDEX(tblAssetMenuSpecs[Is Government Bond US],1):(INDEX(tblAssetMenuSpecs[Is Government Bond US],NumberOfAssets))))</f>
        <v>0</v>
      </c>
      <c r="Z112" s="280">
        <f>MMULT(INDEX(ReportAssetWeightsBaseline,ROW()-ROW(S$95),1):INDEX(ReportAssetWeightsBaseline,ROW()-ROW(S$95),NumberOfAssets),INT(INDEX(tblAssetMenuSpecs[Is Government Bond Other Developed Markets],1):(INDEX(tblAssetMenuSpecs[Is Government Bond Other Developed Markets],NumberOfAssets))))</f>
        <v>0</v>
      </c>
      <c r="AA112" s="280">
        <f>MMULT(INDEX(ReportAssetWeightsBaseline,ROW()-ROW(T$95),1):INDEX(ReportAssetWeightsBaseline,ROW()-ROW(T$95),NumberOfAssets),INT(INDEX(tblAssetMenuSpecs[Is Government Bond Emerging Markets],1):(INDEX(tblAssetMenuSpecs[Is Government Bond Emerging Markets],NumberOfAssets))))</f>
        <v>0</v>
      </c>
      <c r="AB112" s="280">
        <f>MMULT(INDEX(ReportAssetWeightsBaseline,ROW()-ROW(W$95),1):INDEX(ReportAssetWeightsBaseline,ROW()-ROW(W$95),NumberOfAssets),INT(INDEX(tblAssetMenuSpecs[Is Corporate Bond],1):(INDEX(tblAssetMenuSpecs[Is Corporate Bond],NumberOfAssets))))</f>
        <v>0</v>
      </c>
      <c r="AC112" s="280">
        <f>MMULT(INDEX(ReportAssetWeightsBaseline,ROW()-ROW(X$95),1):INDEX(ReportAssetWeightsBaseline,ROW()-ROW(X$95),NumberOfAssets),INT(INDEX(tblAssetMenuSpecs[Is Corporate Bond Non-Financial],1):(INDEX(tblAssetMenuSpecs[Is Corporate Bond Non-Financial],NumberOfAssets))))</f>
        <v>0</v>
      </c>
      <c r="AD112" s="280">
        <f>MMULT(INDEX(ReportAssetWeightsBaseline,ROW()-ROW(Y$95),1):INDEX(ReportAssetWeightsBaseline,ROW()-ROW(Y$95),NumberOfAssets),INT(INDEX(tblAssetMenuSpecs[Is Corporate Bond Financial],1):(INDEX(tblAssetMenuSpecs[Is Corporate Bond Financial],NumberOfAssets))))</f>
        <v>0</v>
      </c>
      <c r="AE112" s="280">
        <f>MMULT(INDEX(ReportAssetWeightsBaseline,ROW()-ROW(X$95),1):INDEX(ReportAssetWeightsBaseline,ROW()-ROW(X$95),NumberOfAssets),INT(INDEX(tblAssetMenuSpecs[Is Cash and Deposits],1):(INDEX(tblAssetMenuSpecs[Is Cash and Deposits],NumberOfAssets))))</f>
        <v>1</v>
      </c>
    </row>
    <row r="113" spans="6:31" x14ac:dyDescent="0.25">
      <c r="F113" s="278">
        <f t="shared" si="0"/>
        <v>18</v>
      </c>
      <c r="G113" s="279">
        <f>MMULT(INDEX(ReportAssetWeightsBaseline,ROW()-ROW(G$95),1):INDEX(ReportAssetWeightsBaseline,ROW()-ROW(G$95),NumberOfAssets),INT(INDEX(tblAssetMenuSpecs[IsEquities],1):(INDEX(tblAssetMenuSpecs[IsEquities],NumberOfAssets))))</f>
        <v>0</v>
      </c>
      <c r="H113" s="279">
        <f>MMULT(INDEX(ReportAssetWeightsBaseline,ROW()-ROW(H$95),1):INDEX(ReportAssetWeightsBaseline,ROW()-ROW(H$95),NumberOfAssets),INT(INDEX(tblAssetMenuSpecs[IsRealEstate],1):(INDEX(tblAssetMenuSpecs[IsRealEstate],NumberOfAssets))))</f>
        <v>0</v>
      </c>
      <c r="I113" s="279">
        <f>MMULT(INDEX(ReportAssetWeightsBaseline,ROW()-ROW(I$95),1):INDEX(ReportAssetWeightsBaseline,ROW()-ROW(I$95),NumberOfAssets),INT(INDEX(tblAssetMenuSpecs[IsAlternatives],1):(INDEX(tblAssetMenuSpecs[IsAlternatives],NumberOfAssets))))</f>
        <v>0</v>
      </c>
      <c r="J113" s="279">
        <f>MMULT(INDEX(ReportAssetWeightsBaseline,ROW()-ROW(J$95),1):INDEX(ReportAssetWeightsBaseline,ROW()-ROW(J$95),NumberOfAssets),INT(INDEX(tblAssetMenuSpecs[IsFixedIncome],1):(INDEX(tblAssetMenuSpecs[IsFixedIncome],NumberOfAssets))))</f>
        <v>1</v>
      </c>
      <c r="L113" s="280">
        <f>MMULT(INDEX(ReportAssetWeightsBaseline,ROW()-ROW(G$95),1):INDEX(ReportAssetWeightsBaseline,ROW()-ROW(G$95),NumberOfAssets),INT(INDEX(tblAssetMenuSpecs[Is Equities EU],1):(INDEX(tblAssetMenuSpecs[Is Equities EU],NumberOfAssets))))</f>
        <v>0</v>
      </c>
      <c r="M113" s="280">
        <f>MMULT(INDEX(ReportAssetWeightsBaseline,ROW()-ROW(H$95),1):INDEX(ReportAssetWeightsBaseline,ROW()-ROW(H$95),NumberOfAssets),INT(INDEX(tblAssetMenuSpecs[Is Equities US],1):(INDEX(tblAssetMenuSpecs[Is Equities US],NumberOfAssets))))</f>
        <v>0</v>
      </c>
      <c r="N113" s="280">
        <f>MMULT(INDEX(ReportAssetWeightsBaseline,ROW()-ROW(I$95),1):INDEX(ReportAssetWeightsBaseline,ROW()-ROW(I$95),NumberOfAssets),INT(INDEX(tblAssetMenuSpecs[Is Equities Other Developed Markets],1):(INDEX(tblAssetMenuSpecs[Is Equities Other Developed Markets],NumberOfAssets))))</f>
        <v>0</v>
      </c>
      <c r="O113" s="280">
        <f>MMULT(INDEX(ReportAssetWeightsBaseline,ROW()-ROW(J$95),1):INDEX(ReportAssetWeightsBaseline,ROW()-ROW(J$95),NumberOfAssets),INT(INDEX(tblAssetMenuSpecs[Is Equities Emerging Markets],1):(INDEX(tblAssetMenuSpecs[Is Equities Emerging Markets],NumberOfAssets))))</f>
        <v>0</v>
      </c>
      <c r="P113" s="280">
        <f>MMULT(INDEX(ReportAssetWeightsBaseline,ROW()-ROW(K$95),1):INDEX(ReportAssetWeightsBaseline,ROW()-ROW(K$95),NumberOfAssets),INT(INDEX(tblAssetMenuSpecs[Is Commodities],1):(INDEX(tblAssetMenuSpecs[Is Commodities],NumberOfAssets))))</f>
        <v>0</v>
      </c>
      <c r="Q113" s="280">
        <f>MMULT(INDEX(ReportAssetWeightsBaseline,ROW()-ROW(L$95),1):INDEX(ReportAssetWeightsBaseline,ROW()-ROW(L$95),NumberOfAssets),INT(INDEX(tblAssetMenuSpecs[Is Private Equity],1):(INDEX(tblAssetMenuSpecs[Is Private Equity],NumberOfAssets))))</f>
        <v>0</v>
      </c>
      <c r="R113" s="280">
        <f>MMULT(INDEX(ReportAssetWeightsBaseline,ROW()-ROW(M$95),1):INDEX(ReportAssetWeightsBaseline,ROW()-ROW(M$95),NumberOfAssets),INT(INDEX(tblAssetMenuSpecs[Is Hedge Funds],1):(INDEX(tblAssetMenuSpecs[Is Hedge Funds],NumberOfAssets))))</f>
        <v>0</v>
      </c>
      <c r="S113" s="280">
        <f>MMULT(INDEX(ReportAssetWeightsBaseline,ROW()-ROW(N$95),1):INDEX(ReportAssetWeightsBaseline,ROW()-ROW(N$95),NumberOfAssets),INT(INDEX(tblAssetMenuSpecs[Is Real Estate EU],1):(INDEX(tblAssetMenuSpecs[Is Real Estate EU],NumberOfAssets))))</f>
        <v>0</v>
      </c>
      <c r="T113" s="280">
        <f>MMULT(INDEX(ReportAssetWeightsBaseline,ROW()-ROW(O$95),1):INDEX(ReportAssetWeightsBaseline,ROW()-ROW(O$95),NumberOfAssets),INT(INDEX(tblAssetMenuSpecs[Is Real Estate US],1):(INDEX(tblAssetMenuSpecs[Is Real Estate US],NumberOfAssets))))</f>
        <v>0</v>
      </c>
      <c r="U113" s="280">
        <f>MMULT(INDEX(ReportAssetWeightsBaseline,ROW()-ROW(P$95),1):INDEX(ReportAssetWeightsBaseline,ROW()-ROW(P$95),NumberOfAssets),INT(INDEX(tblAssetMenuSpecs[Is Real Estate Other Developed Markets],1):(INDEX(tblAssetMenuSpecs[Is Real Estate Other Developed Markets],NumberOfAssets))))</f>
        <v>0</v>
      </c>
      <c r="V113" s="280">
        <f>MMULT(INDEX(ReportAssetWeightsBaseline,ROW()-ROW(Q$95),1):INDEX(ReportAssetWeightsBaseline,ROW()-ROW(Q$95),NumberOfAssets),INT(INDEX(tblAssetMenuSpecs[Is Real Estate Commercial EU (non-leveraged)],1):(INDEX(tblAssetMenuSpecs[Is Real Estate Commercial EU (non-leveraged)],NumberOfAssets))))</f>
        <v>0</v>
      </c>
      <c r="W113" s="280">
        <f>MMULT(INDEX(ReportAssetWeightsBaseline,ROW()-ROW(P$95),1):INDEX(ReportAssetWeightsBaseline,ROW()-ROW(P$95),NumberOfAssets),INT(INDEX(tblAssetMenuSpecs[Is Real Estate Residential EU (non-leveraged)],1):(INDEX(tblAssetMenuSpecs[Is Real Estate Residential EU (non-leveraged)],NumberOfAssets))))</f>
        <v>0</v>
      </c>
      <c r="X113" s="280">
        <f>MMULT(INDEX(ReportAssetWeightsBaseline,ROW()-ROW(Q$95),1):INDEX(ReportAssetWeightsBaseline,ROW()-ROW(Q$95),NumberOfAssets),INT(INDEX(tblAssetMenuSpecs[Is Government Bond EU],1):(INDEX(tblAssetMenuSpecs[Is Government Bond EU],NumberOfAssets))))</f>
        <v>0</v>
      </c>
      <c r="Y113" s="280">
        <f>MMULT(INDEX(ReportAssetWeightsBaseline,ROW()-ROW(R$95),1):INDEX(ReportAssetWeightsBaseline,ROW()-ROW(R$95),NumberOfAssets),INT(INDEX(tblAssetMenuSpecs[Is Government Bond US],1):(INDEX(tblAssetMenuSpecs[Is Government Bond US],NumberOfAssets))))</f>
        <v>0</v>
      </c>
      <c r="Z113" s="280">
        <f>MMULT(INDEX(ReportAssetWeightsBaseline,ROW()-ROW(S$95),1):INDEX(ReportAssetWeightsBaseline,ROW()-ROW(S$95),NumberOfAssets),INT(INDEX(tblAssetMenuSpecs[Is Government Bond Other Developed Markets],1):(INDEX(tblAssetMenuSpecs[Is Government Bond Other Developed Markets],NumberOfAssets))))</f>
        <v>0</v>
      </c>
      <c r="AA113" s="280">
        <f>MMULT(INDEX(ReportAssetWeightsBaseline,ROW()-ROW(T$95),1):INDEX(ReportAssetWeightsBaseline,ROW()-ROW(T$95),NumberOfAssets),INT(INDEX(tblAssetMenuSpecs[Is Government Bond Emerging Markets],1):(INDEX(tblAssetMenuSpecs[Is Government Bond Emerging Markets],NumberOfAssets))))</f>
        <v>0</v>
      </c>
      <c r="AB113" s="280">
        <f>MMULT(INDEX(ReportAssetWeightsBaseline,ROW()-ROW(W$95),1):INDEX(ReportAssetWeightsBaseline,ROW()-ROW(W$95),NumberOfAssets),INT(INDEX(tblAssetMenuSpecs[Is Corporate Bond],1):(INDEX(tblAssetMenuSpecs[Is Corporate Bond],NumberOfAssets))))</f>
        <v>0</v>
      </c>
      <c r="AC113" s="280">
        <f>MMULT(INDEX(ReportAssetWeightsBaseline,ROW()-ROW(X$95),1):INDEX(ReportAssetWeightsBaseline,ROW()-ROW(X$95),NumberOfAssets),INT(INDEX(tblAssetMenuSpecs[Is Corporate Bond Non-Financial],1):(INDEX(tblAssetMenuSpecs[Is Corporate Bond Non-Financial],NumberOfAssets))))</f>
        <v>0</v>
      </c>
      <c r="AD113" s="280">
        <f>MMULT(INDEX(ReportAssetWeightsBaseline,ROW()-ROW(Y$95),1):INDEX(ReportAssetWeightsBaseline,ROW()-ROW(Y$95),NumberOfAssets),INT(INDEX(tblAssetMenuSpecs[Is Corporate Bond Financial],1):(INDEX(tblAssetMenuSpecs[Is Corporate Bond Financial],NumberOfAssets))))</f>
        <v>0</v>
      </c>
      <c r="AE113" s="280">
        <f>MMULT(INDEX(ReportAssetWeightsBaseline,ROW()-ROW(X$95),1):INDEX(ReportAssetWeightsBaseline,ROW()-ROW(X$95),NumberOfAssets),INT(INDEX(tblAssetMenuSpecs[Is Cash and Deposits],1):(INDEX(tblAssetMenuSpecs[Is Cash and Deposits],NumberOfAssets))))</f>
        <v>1</v>
      </c>
    </row>
    <row r="114" spans="6:31" x14ac:dyDescent="0.25">
      <c r="F114" s="278">
        <f t="shared" si="0"/>
        <v>17</v>
      </c>
      <c r="G114" s="279">
        <f>MMULT(INDEX(ReportAssetWeightsBaseline,ROW()-ROW(G$95),1):INDEX(ReportAssetWeightsBaseline,ROW()-ROW(G$95),NumberOfAssets),INT(INDEX(tblAssetMenuSpecs[IsEquities],1):(INDEX(tblAssetMenuSpecs[IsEquities],NumberOfAssets))))</f>
        <v>0</v>
      </c>
      <c r="H114" s="279">
        <f>MMULT(INDEX(ReportAssetWeightsBaseline,ROW()-ROW(H$95),1):INDEX(ReportAssetWeightsBaseline,ROW()-ROW(H$95),NumberOfAssets),INT(INDEX(tblAssetMenuSpecs[IsRealEstate],1):(INDEX(tblAssetMenuSpecs[IsRealEstate],NumberOfAssets))))</f>
        <v>0</v>
      </c>
      <c r="I114" s="279">
        <f>MMULT(INDEX(ReportAssetWeightsBaseline,ROW()-ROW(I$95),1):INDEX(ReportAssetWeightsBaseline,ROW()-ROW(I$95),NumberOfAssets),INT(INDEX(tblAssetMenuSpecs[IsAlternatives],1):(INDEX(tblAssetMenuSpecs[IsAlternatives],NumberOfAssets))))</f>
        <v>0</v>
      </c>
      <c r="J114" s="279">
        <f>MMULT(INDEX(ReportAssetWeightsBaseline,ROW()-ROW(J$95),1):INDEX(ReportAssetWeightsBaseline,ROW()-ROW(J$95),NumberOfAssets),INT(INDEX(tblAssetMenuSpecs[IsFixedIncome],1):(INDEX(tblAssetMenuSpecs[IsFixedIncome],NumberOfAssets))))</f>
        <v>1</v>
      </c>
      <c r="L114" s="280">
        <f>MMULT(INDEX(ReportAssetWeightsBaseline,ROW()-ROW(G$95),1):INDEX(ReportAssetWeightsBaseline,ROW()-ROW(G$95),NumberOfAssets),INT(INDEX(tblAssetMenuSpecs[Is Equities EU],1):(INDEX(tblAssetMenuSpecs[Is Equities EU],NumberOfAssets))))</f>
        <v>0</v>
      </c>
      <c r="M114" s="280">
        <f>MMULT(INDEX(ReportAssetWeightsBaseline,ROW()-ROW(H$95),1):INDEX(ReportAssetWeightsBaseline,ROW()-ROW(H$95),NumberOfAssets),INT(INDEX(tblAssetMenuSpecs[Is Equities US],1):(INDEX(tblAssetMenuSpecs[Is Equities US],NumberOfAssets))))</f>
        <v>0</v>
      </c>
      <c r="N114" s="280">
        <f>MMULT(INDEX(ReportAssetWeightsBaseline,ROW()-ROW(I$95),1):INDEX(ReportAssetWeightsBaseline,ROW()-ROW(I$95),NumberOfAssets),INT(INDEX(tblAssetMenuSpecs[Is Equities Other Developed Markets],1):(INDEX(tblAssetMenuSpecs[Is Equities Other Developed Markets],NumberOfAssets))))</f>
        <v>0</v>
      </c>
      <c r="O114" s="280">
        <f>MMULT(INDEX(ReportAssetWeightsBaseline,ROW()-ROW(J$95),1):INDEX(ReportAssetWeightsBaseline,ROW()-ROW(J$95),NumberOfAssets),INT(INDEX(tblAssetMenuSpecs[Is Equities Emerging Markets],1):(INDEX(tblAssetMenuSpecs[Is Equities Emerging Markets],NumberOfAssets))))</f>
        <v>0</v>
      </c>
      <c r="P114" s="280">
        <f>MMULT(INDEX(ReportAssetWeightsBaseline,ROW()-ROW(K$95),1):INDEX(ReportAssetWeightsBaseline,ROW()-ROW(K$95),NumberOfAssets),INT(INDEX(tblAssetMenuSpecs[Is Commodities],1):(INDEX(tblAssetMenuSpecs[Is Commodities],NumberOfAssets))))</f>
        <v>0</v>
      </c>
      <c r="Q114" s="280">
        <f>MMULT(INDEX(ReportAssetWeightsBaseline,ROW()-ROW(L$95),1):INDEX(ReportAssetWeightsBaseline,ROW()-ROW(L$95),NumberOfAssets),INT(INDEX(tblAssetMenuSpecs[Is Private Equity],1):(INDEX(tblAssetMenuSpecs[Is Private Equity],NumberOfAssets))))</f>
        <v>0</v>
      </c>
      <c r="R114" s="280">
        <f>MMULT(INDEX(ReportAssetWeightsBaseline,ROW()-ROW(M$95),1):INDEX(ReportAssetWeightsBaseline,ROW()-ROW(M$95),NumberOfAssets),INT(INDEX(tblAssetMenuSpecs[Is Hedge Funds],1):(INDEX(tblAssetMenuSpecs[Is Hedge Funds],NumberOfAssets))))</f>
        <v>0</v>
      </c>
      <c r="S114" s="280">
        <f>MMULT(INDEX(ReportAssetWeightsBaseline,ROW()-ROW(N$95),1):INDEX(ReportAssetWeightsBaseline,ROW()-ROW(N$95),NumberOfAssets),INT(INDEX(tblAssetMenuSpecs[Is Real Estate EU],1):(INDEX(tblAssetMenuSpecs[Is Real Estate EU],NumberOfAssets))))</f>
        <v>0</v>
      </c>
      <c r="T114" s="280">
        <f>MMULT(INDEX(ReportAssetWeightsBaseline,ROW()-ROW(O$95),1):INDEX(ReportAssetWeightsBaseline,ROW()-ROW(O$95),NumberOfAssets),INT(INDEX(tblAssetMenuSpecs[Is Real Estate US],1):(INDEX(tblAssetMenuSpecs[Is Real Estate US],NumberOfAssets))))</f>
        <v>0</v>
      </c>
      <c r="U114" s="280">
        <f>MMULT(INDEX(ReportAssetWeightsBaseline,ROW()-ROW(P$95),1):INDEX(ReportAssetWeightsBaseline,ROW()-ROW(P$95),NumberOfAssets),INT(INDEX(tblAssetMenuSpecs[Is Real Estate Other Developed Markets],1):(INDEX(tblAssetMenuSpecs[Is Real Estate Other Developed Markets],NumberOfAssets))))</f>
        <v>0</v>
      </c>
      <c r="V114" s="280">
        <f>MMULT(INDEX(ReportAssetWeightsBaseline,ROW()-ROW(Q$95),1):INDEX(ReportAssetWeightsBaseline,ROW()-ROW(Q$95),NumberOfAssets),INT(INDEX(tblAssetMenuSpecs[Is Real Estate Commercial EU (non-leveraged)],1):(INDEX(tblAssetMenuSpecs[Is Real Estate Commercial EU (non-leveraged)],NumberOfAssets))))</f>
        <v>0</v>
      </c>
      <c r="W114" s="280">
        <f>MMULT(INDEX(ReportAssetWeightsBaseline,ROW()-ROW(P$95),1):INDEX(ReportAssetWeightsBaseline,ROW()-ROW(P$95),NumberOfAssets),INT(INDEX(tblAssetMenuSpecs[Is Real Estate Residential EU (non-leveraged)],1):(INDEX(tblAssetMenuSpecs[Is Real Estate Residential EU (non-leveraged)],NumberOfAssets))))</f>
        <v>0</v>
      </c>
      <c r="X114" s="280">
        <f>MMULT(INDEX(ReportAssetWeightsBaseline,ROW()-ROW(Q$95),1):INDEX(ReportAssetWeightsBaseline,ROW()-ROW(Q$95),NumberOfAssets),INT(INDEX(tblAssetMenuSpecs[Is Government Bond EU],1):(INDEX(tblAssetMenuSpecs[Is Government Bond EU],NumberOfAssets))))</f>
        <v>0</v>
      </c>
      <c r="Y114" s="280">
        <f>MMULT(INDEX(ReportAssetWeightsBaseline,ROW()-ROW(R$95),1):INDEX(ReportAssetWeightsBaseline,ROW()-ROW(R$95),NumberOfAssets),INT(INDEX(tblAssetMenuSpecs[Is Government Bond US],1):(INDEX(tblAssetMenuSpecs[Is Government Bond US],NumberOfAssets))))</f>
        <v>0</v>
      </c>
      <c r="Z114" s="280">
        <f>MMULT(INDEX(ReportAssetWeightsBaseline,ROW()-ROW(S$95),1):INDEX(ReportAssetWeightsBaseline,ROW()-ROW(S$95),NumberOfAssets),INT(INDEX(tblAssetMenuSpecs[Is Government Bond Other Developed Markets],1):(INDEX(tblAssetMenuSpecs[Is Government Bond Other Developed Markets],NumberOfAssets))))</f>
        <v>0</v>
      </c>
      <c r="AA114" s="280">
        <f>MMULT(INDEX(ReportAssetWeightsBaseline,ROW()-ROW(T$95),1):INDEX(ReportAssetWeightsBaseline,ROW()-ROW(T$95),NumberOfAssets),INT(INDEX(tblAssetMenuSpecs[Is Government Bond Emerging Markets],1):(INDEX(tblAssetMenuSpecs[Is Government Bond Emerging Markets],NumberOfAssets))))</f>
        <v>0</v>
      </c>
      <c r="AB114" s="280">
        <f>MMULT(INDEX(ReportAssetWeightsBaseline,ROW()-ROW(W$95),1):INDEX(ReportAssetWeightsBaseline,ROW()-ROW(W$95),NumberOfAssets),INT(INDEX(tblAssetMenuSpecs[Is Corporate Bond],1):(INDEX(tblAssetMenuSpecs[Is Corporate Bond],NumberOfAssets))))</f>
        <v>0</v>
      </c>
      <c r="AC114" s="280">
        <f>MMULT(INDEX(ReportAssetWeightsBaseline,ROW()-ROW(X$95),1):INDEX(ReportAssetWeightsBaseline,ROW()-ROW(X$95),NumberOfAssets),INT(INDEX(tblAssetMenuSpecs[Is Corporate Bond Non-Financial],1):(INDEX(tblAssetMenuSpecs[Is Corporate Bond Non-Financial],NumberOfAssets))))</f>
        <v>0</v>
      </c>
      <c r="AD114" s="280">
        <f>MMULT(INDEX(ReportAssetWeightsBaseline,ROW()-ROW(Y$95),1):INDEX(ReportAssetWeightsBaseline,ROW()-ROW(Y$95),NumberOfAssets),INT(INDEX(tblAssetMenuSpecs[Is Corporate Bond Financial],1):(INDEX(tblAssetMenuSpecs[Is Corporate Bond Financial],NumberOfAssets))))</f>
        <v>0</v>
      </c>
      <c r="AE114" s="280">
        <f>MMULT(INDEX(ReportAssetWeightsBaseline,ROW()-ROW(X$95),1):INDEX(ReportAssetWeightsBaseline,ROW()-ROW(X$95),NumberOfAssets),INT(INDEX(tblAssetMenuSpecs[Is Cash and Deposits],1):(INDEX(tblAssetMenuSpecs[Is Cash and Deposits],NumberOfAssets))))</f>
        <v>1</v>
      </c>
    </row>
    <row r="115" spans="6:31" x14ac:dyDescent="0.25">
      <c r="F115" s="278">
        <f t="shared" si="0"/>
        <v>16</v>
      </c>
      <c r="G115" s="279">
        <f>MMULT(INDEX(ReportAssetWeightsBaseline,ROW()-ROW(G$95),1):INDEX(ReportAssetWeightsBaseline,ROW()-ROW(G$95),NumberOfAssets),INT(INDEX(tblAssetMenuSpecs[IsEquities],1):(INDEX(tblAssetMenuSpecs[IsEquities],NumberOfAssets))))</f>
        <v>0</v>
      </c>
      <c r="H115" s="279">
        <f>MMULT(INDEX(ReportAssetWeightsBaseline,ROW()-ROW(H$95),1):INDEX(ReportAssetWeightsBaseline,ROW()-ROW(H$95),NumberOfAssets),INT(INDEX(tblAssetMenuSpecs[IsRealEstate],1):(INDEX(tblAssetMenuSpecs[IsRealEstate],NumberOfAssets))))</f>
        <v>0</v>
      </c>
      <c r="I115" s="279">
        <f>MMULT(INDEX(ReportAssetWeightsBaseline,ROW()-ROW(I$95),1):INDEX(ReportAssetWeightsBaseline,ROW()-ROW(I$95),NumberOfAssets),INT(INDEX(tblAssetMenuSpecs[IsAlternatives],1):(INDEX(tblAssetMenuSpecs[IsAlternatives],NumberOfAssets))))</f>
        <v>0</v>
      </c>
      <c r="J115" s="279">
        <f>MMULT(INDEX(ReportAssetWeightsBaseline,ROW()-ROW(J$95),1):INDEX(ReportAssetWeightsBaseline,ROW()-ROW(J$95),NumberOfAssets),INT(INDEX(tblAssetMenuSpecs[IsFixedIncome],1):(INDEX(tblAssetMenuSpecs[IsFixedIncome],NumberOfAssets))))</f>
        <v>1</v>
      </c>
      <c r="L115" s="280">
        <f>MMULT(INDEX(ReportAssetWeightsBaseline,ROW()-ROW(G$95),1):INDEX(ReportAssetWeightsBaseline,ROW()-ROW(G$95),NumberOfAssets),INT(INDEX(tblAssetMenuSpecs[Is Equities EU],1):(INDEX(tblAssetMenuSpecs[Is Equities EU],NumberOfAssets))))</f>
        <v>0</v>
      </c>
      <c r="M115" s="280">
        <f>MMULT(INDEX(ReportAssetWeightsBaseline,ROW()-ROW(H$95),1):INDEX(ReportAssetWeightsBaseline,ROW()-ROW(H$95),NumberOfAssets),INT(INDEX(tblAssetMenuSpecs[Is Equities US],1):(INDEX(tblAssetMenuSpecs[Is Equities US],NumberOfAssets))))</f>
        <v>0</v>
      </c>
      <c r="N115" s="280">
        <f>MMULT(INDEX(ReportAssetWeightsBaseline,ROW()-ROW(I$95),1):INDEX(ReportAssetWeightsBaseline,ROW()-ROW(I$95),NumberOfAssets),INT(INDEX(tblAssetMenuSpecs[Is Equities Other Developed Markets],1):(INDEX(tblAssetMenuSpecs[Is Equities Other Developed Markets],NumberOfAssets))))</f>
        <v>0</v>
      </c>
      <c r="O115" s="280">
        <f>MMULT(INDEX(ReportAssetWeightsBaseline,ROW()-ROW(J$95),1):INDEX(ReportAssetWeightsBaseline,ROW()-ROW(J$95),NumberOfAssets),INT(INDEX(tblAssetMenuSpecs[Is Equities Emerging Markets],1):(INDEX(tblAssetMenuSpecs[Is Equities Emerging Markets],NumberOfAssets))))</f>
        <v>0</v>
      </c>
      <c r="P115" s="280">
        <f>MMULT(INDEX(ReportAssetWeightsBaseline,ROW()-ROW(K$95),1):INDEX(ReportAssetWeightsBaseline,ROW()-ROW(K$95),NumberOfAssets),INT(INDEX(tblAssetMenuSpecs[Is Commodities],1):(INDEX(tblAssetMenuSpecs[Is Commodities],NumberOfAssets))))</f>
        <v>0</v>
      </c>
      <c r="Q115" s="280">
        <f>MMULT(INDEX(ReportAssetWeightsBaseline,ROW()-ROW(L$95),1):INDEX(ReportAssetWeightsBaseline,ROW()-ROW(L$95),NumberOfAssets),INT(INDEX(tblAssetMenuSpecs[Is Private Equity],1):(INDEX(tblAssetMenuSpecs[Is Private Equity],NumberOfAssets))))</f>
        <v>0</v>
      </c>
      <c r="R115" s="280">
        <f>MMULT(INDEX(ReportAssetWeightsBaseline,ROW()-ROW(M$95),1):INDEX(ReportAssetWeightsBaseline,ROW()-ROW(M$95),NumberOfAssets),INT(INDEX(tblAssetMenuSpecs[Is Hedge Funds],1):(INDEX(tblAssetMenuSpecs[Is Hedge Funds],NumberOfAssets))))</f>
        <v>0</v>
      </c>
      <c r="S115" s="280">
        <f>MMULT(INDEX(ReportAssetWeightsBaseline,ROW()-ROW(N$95),1):INDEX(ReportAssetWeightsBaseline,ROW()-ROW(N$95),NumberOfAssets),INT(INDEX(tblAssetMenuSpecs[Is Real Estate EU],1):(INDEX(tblAssetMenuSpecs[Is Real Estate EU],NumberOfAssets))))</f>
        <v>0</v>
      </c>
      <c r="T115" s="280">
        <f>MMULT(INDEX(ReportAssetWeightsBaseline,ROW()-ROW(O$95),1):INDEX(ReportAssetWeightsBaseline,ROW()-ROW(O$95),NumberOfAssets),INT(INDEX(tblAssetMenuSpecs[Is Real Estate US],1):(INDEX(tblAssetMenuSpecs[Is Real Estate US],NumberOfAssets))))</f>
        <v>0</v>
      </c>
      <c r="U115" s="280">
        <f>MMULT(INDEX(ReportAssetWeightsBaseline,ROW()-ROW(P$95),1):INDEX(ReportAssetWeightsBaseline,ROW()-ROW(P$95),NumberOfAssets),INT(INDEX(tblAssetMenuSpecs[Is Real Estate Other Developed Markets],1):(INDEX(tblAssetMenuSpecs[Is Real Estate Other Developed Markets],NumberOfAssets))))</f>
        <v>0</v>
      </c>
      <c r="V115" s="280">
        <f>MMULT(INDEX(ReportAssetWeightsBaseline,ROW()-ROW(Q$95),1):INDEX(ReportAssetWeightsBaseline,ROW()-ROW(Q$95),NumberOfAssets),INT(INDEX(tblAssetMenuSpecs[Is Real Estate Commercial EU (non-leveraged)],1):(INDEX(tblAssetMenuSpecs[Is Real Estate Commercial EU (non-leveraged)],NumberOfAssets))))</f>
        <v>0</v>
      </c>
      <c r="W115" s="280">
        <f>MMULT(INDEX(ReportAssetWeightsBaseline,ROW()-ROW(P$95),1):INDEX(ReportAssetWeightsBaseline,ROW()-ROW(P$95),NumberOfAssets),INT(INDEX(tblAssetMenuSpecs[Is Real Estate Residential EU (non-leveraged)],1):(INDEX(tblAssetMenuSpecs[Is Real Estate Residential EU (non-leveraged)],NumberOfAssets))))</f>
        <v>0</v>
      </c>
      <c r="X115" s="280">
        <f>MMULT(INDEX(ReportAssetWeightsBaseline,ROW()-ROW(Q$95),1):INDEX(ReportAssetWeightsBaseline,ROW()-ROW(Q$95),NumberOfAssets),INT(INDEX(tblAssetMenuSpecs[Is Government Bond EU],1):(INDEX(tblAssetMenuSpecs[Is Government Bond EU],NumberOfAssets))))</f>
        <v>0</v>
      </c>
      <c r="Y115" s="280">
        <f>MMULT(INDEX(ReportAssetWeightsBaseline,ROW()-ROW(R$95),1):INDEX(ReportAssetWeightsBaseline,ROW()-ROW(R$95),NumberOfAssets),INT(INDEX(tblAssetMenuSpecs[Is Government Bond US],1):(INDEX(tblAssetMenuSpecs[Is Government Bond US],NumberOfAssets))))</f>
        <v>0</v>
      </c>
      <c r="Z115" s="280">
        <f>MMULT(INDEX(ReportAssetWeightsBaseline,ROW()-ROW(S$95),1):INDEX(ReportAssetWeightsBaseline,ROW()-ROW(S$95),NumberOfAssets),INT(INDEX(tblAssetMenuSpecs[Is Government Bond Other Developed Markets],1):(INDEX(tblAssetMenuSpecs[Is Government Bond Other Developed Markets],NumberOfAssets))))</f>
        <v>0</v>
      </c>
      <c r="AA115" s="280">
        <f>MMULT(INDEX(ReportAssetWeightsBaseline,ROW()-ROW(T$95),1):INDEX(ReportAssetWeightsBaseline,ROW()-ROW(T$95),NumberOfAssets),INT(INDEX(tblAssetMenuSpecs[Is Government Bond Emerging Markets],1):(INDEX(tblAssetMenuSpecs[Is Government Bond Emerging Markets],NumberOfAssets))))</f>
        <v>0</v>
      </c>
      <c r="AB115" s="280">
        <f>MMULT(INDEX(ReportAssetWeightsBaseline,ROW()-ROW(W$95),1):INDEX(ReportAssetWeightsBaseline,ROW()-ROW(W$95),NumberOfAssets),INT(INDEX(tblAssetMenuSpecs[Is Corporate Bond],1):(INDEX(tblAssetMenuSpecs[Is Corporate Bond],NumberOfAssets))))</f>
        <v>0</v>
      </c>
      <c r="AC115" s="280">
        <f>MMULT(INDEX(ReportAssetWeightsBaseline,ROW()-ROW(X$95),1):INDEX(ReportAssetWeightsBaseline,ROW()-ROW(X$95),NumberOfAssets),INT(INDEX(tblAssetMenuSpecs[Is Corporate Bond Non-Financial],1):(INDEX(tblAssetMenuSpecs[Is Corporate Bond Non-Financial],NumberOfAssets))))</f>
        <v>0</v>
      </c>
      <c r="AD115" s="280">
        <f>MMULT(INDEX(ReportAssetWeightsBaseline,ROW()-ROW(Y$95),1):INDEX(ReportAssetWeightsBaseline,ROW()-ROW(Y$95),NumberOfAssets),INT(INDEX(tblAssetMenuSpecs[Is Corporate Bond Financial],1):(INDEX(tblAssetMenuSpecs[Is Corporate Bond Financial],NumberOfAssets))))</f>
        <v>0</v>
      </c>
      <c r="AE115" s="280">
        <f>MMULT(INDEX(ReportAssetWeightsBaseline,ROW()-ROW(X$95),1):INDEX(ReportAssetWeightsBaseline,ROW()-ROW(X$95),NumberOfAssets),INT(INDEX(tblAssetMenuSpecs[Is Cash and Deposits],1):(INDEX(tblAssetMenuSpecs[Is Cash and Deposits],NumberOfAssets))))</f>
        <v>1</v>
      </c>
    </row>
    <row r="116" spans="6:31" x14ac:dyDescent="0.25">
      <c r="F116" s="278">
        <f t="shared" si="0"/>
        <v>15</v>
      </c>
      <c r="G116" s="279">
        <f>MMULT(INDEX(ReportAssetWeightsBaseline,ROW()-ROW(G$95),1):INDEX(ReportAssetWeightsBaseline,ROW()-ROW(G$95),NumberOfAssets),INT(INDEX(tblAssetMenuSpecs[IsEquities],1):(INDEX(tblAssetMenuSpecs[IsEquities],NumberOfAssets))))</f>
        <v>0</v>
      </c>
      <c r="H116" s="279">
        <f>MMULT(INDEX(ReportAssetWeightsBaseline,ROW()-ROW(H$95),1):INDEX(ReportAssetWeightsBaseline,ROW()-ROW(H$95),NumberOfAssets),INT(INDEX(tblAssetMenuSpecs[IsRealEstate],1):(INDEX(tblAssetMenuSpecs[IsRealEstate],NumberOfAssets))))</f>
        <v>0</v>
      </c>
      <c r="I116" s="279">
        <f>MMULT(INDEX(ReportAssetWeightsBaseline,ROW()-ROW(I$95),1):INDEX(ReportAssetWeightsBaseline,ROW()-ROW(I$95),NumberOfAssets),INT(INDEX(tblAssetMenuSpecs[IsAlternatives],1):(INDEX(tblAssetMenuSpecs[IsAlternatives],NumberOfAssets))))</f>
        <v>0</v>
      </c>
      <c r="J116" s="279">
        <f>MMULT(INDEX(ReportAssetWeightsBaseline,ROW()-ROW(J$95),1):INDEX(ReportAssetWeightsBaseline,ROW()-ROW(J$95),NumberOfAssets),INT(INDEX(tblAssetMenuSpecs[IsFixedIncome],1):(INDEX(tblAssetMenuSpecs[IsFixedIncome],NumberOfAssets))))</f>
        <v>1</v>
      </c>
      <c r="L116" s="280">
        <f>MMULT(INDEX(ReportAssetWeightsBaseline,ROW()-ROW(G$95),1):INDEX(ReportAssetWeightsBaseline,ROW()-ROW(G$95),NumberOfAssets),INT(INDEX(tblAssetMenuSpecs[Is Equities EU],1):(INDEX(tblAssetMenuSpecs[Is Equities EU],NumberOfAssets))))</f>
        <v>0</v>
      </c>
      <c r="M116" s="280">
        <f>MMULT(INDEX(ReportAssetWeightsBaseline,ROW()-ROW(H$95),1):INDEX(ReportAssetWeightsBaseline,ROW()-ROW(H$95),NumberOfAssets),INT(INDEX(tblAssetMenuSpecs[Is Equities US],1):(INDEX(tblAssetMenuSpecs[Is Equities US],NumberOfAssets))))</f>
        <v>0</v>
      </c>
      <c r="N116" s="280">
        <f>MMULT(INDEX(ReportAssetWeightsBaseline,ROW()-ROW(I$95),1):INDEX(ReportAssetWeightsBaseline,ROW()-ROW(I$95),NumberOfAssets),INT(INDEX(tblAssetMenuSpecs[Is Equities Other Developed Markets],1):(INDEX(tblAssetMenuSpecs[Is Equities Other Developed Markets],NumberOfAssets))))</f>
        <v>0</v>
      </c>
      <c r="O116" s="280">
        <f>MMULT(INDEX(ReportAssetWeightsBaseline,ROW()-ROW(J$95),1):INDEX(ReportAssetWeightsBaseline,ROW()-ROW(J$95),NumberOfAssets),INT(INDEX(tblAssetMenuSpecs[Is Equities Emerging Markets],1):(INDEX(tblAssetMenuSpecs[Is Equities Emerging Markets],NumberOfAssets))))</f>
        <v>0</v>
      </c>
      <c r="P116" s="280">
        <f>MMULT(INDEX(ReportAssetWeightsBaseline,ROW()-ROW(K$95),1):INDEX(ReportAssetWeightsBaseline,ROW()-ROW(K$95),NumberOfAssets),INT(INDEX(tblAssetMenuSpecs[Is Commodities],1):(INDEX(tblAssetMenuSpecs[Is Commodities],NumberOfAssets))))</f>
        <v>0</v>
      </c>
      <c r="Q116" s="280">
        <f>MMULT(INDEX(ReportAssetWeightsBaseline,ROW()-ROW(L$95),1):INDEX(ReportAssetWeightsBaseline,ROW()-ROW(L$95),NumberOfAssets),INT(INDEX(tblAssetMenuSpecs[Is Private Equity],1):(INDEX(tblAssetMenuSpecs[Is Private Equity],NumberOfAssets))))</f>
        <v>0</v>
      </c>
      <c r="R116" s="280">
        <f>MMULT(INDEX(ReportAssetWeightsBaseline,ROW()-ROW(M$95),1):INDEX(ReportAssetWeightsBaseline,ROW()-ROW(M$95),NumberOfAssets),INT(INDEX(tblAssetMenuSpecs[Is Hedge Funds],1):(INDEX(tblAssetMenuSpecs[Is Hedge Funds],NumberOfAssets))))</f>
        <v>0</v>
      </c>
      <c r="S116" s="280">
        <f>MMULT(INDEX(ReportAssetWeightsBaseline,ROW()-ROW(N$95),1):INDEX(ReportAssetWeightsBaseline,ROW()-ROW(N$95),NumberOfAssets),INT(INDEX(tblAssetMenuSpecs[Is Real Estate EU],1):(INDEX(tblAssetMenuSpecs[Is Real Estate EU],NumberOfAssets))))</f>
        <v>0</v>
      </c>
      <c r="T116" s="280">
        <f>MMULT(INDEX(ReportAssetWeightsBaseline,ROW()-ROW(O$95),1):INDEX(ReportAssetWeightsBaseline,ROW()-ROW(O$95),NumberOfAssets),INT(INDEX(tblAssetMenuSpecs[Is Real Estate US],1):(INDEX(tblAssetMenuSpecs[Is Real Estate US],NumberOfAssets))))</f>
        <v>0</v>
      </c>
      <c r="U116" s="280">
        <f>MMULT(INDEX(ReportAssetWeightsBaseline,ROW()-ROW(P$95),1):INDEX(ReportAssetWeightsBaseline,ROW()-ROW(P$95),NumberOfAssets),INT(INDEX(tblAssetMenuSpecs[Is Real Estate Other Developed Markets],1):(INDEX(tblAssetMenuSpecs[Is Real Estate Other Developed Markets],NumberOfAssets))))</f>
        <v>0</v>
      </c>
      <c r="V116" s="280">
        <f>MMULT(INDEX(ReportAssetWeightsBaseline,ROW()-ROW(Q$95),1):INDEX(ReportAssetWeightsBaseline,ROW()-ROW(Q$95),NumberOfAssets),INT(INDEX(tblAssetMenuSpecs[Is Real Estate Commercial EU (non-leveraged)],1):(INDEX(tblAssetMenuSpecs[Is Real Estate Commercial EU (non-leveraged)],NumberOfAssets))))</f>
        <v>0</v>
      </c>
      <c r="W116" s="280">
        <f>MMULT(INDEX(ReportAssetWeightsBaseline,ROW()-ROW(P$95),1):INDEX(ReportAssetWeightsBaseline,ROW()-ROW(P$95),NumberOfAssets),INT(INDEX(tblAssetMenuSpecs[Is Real Estate Residential EU (non-leveraged)],1):(INDEX(tblAssetMenuSpecs[Is Real Estate Residential EU (non-leveraged)],NumberOfAssets))))</f>
        <v>0</v>
      </c>
      <c r="X116" s="280">
        <f>MMULT(INDEX(ReportAssetWeightsBaseline,ROW()-ROW(Q$95),1):INDEX(ReportAssetWeightsBaseline,ROW()-ROW(Q$95),NumberOfAssets),INT(INDEX(tblAssetMenuSpecs[Is Government Bond EU],1):(INDEX(tblAssetMenuSpecs[Is Government Bond EU],NumberOfAssets))))</f>
        <v>0</v>
      </c>
      <c r="Y116" s="280">
        <f>MMULT(INDEX(ReportAssetWeightsBaseline,ROW()-ROW(R$95),1):INDEX(ReportAssetWeightsBaseline,ROW()-ROW(R$95),NumberOfAssets),INT(INDEX(tblAssetMenuSpecs[Is Government Bond US],1):(INDEX(tblAssetMenuSpecs[Is Government Bond US],NumberOfAssets))))</f>
        <v>0</v>
      </c>
      <c r="Z116" s="280">
        <f>MMULT(INDEX(ReportAssetWeightsBaseline,ROW()-ROW(S$95),1):INDEX(ReportAssetWeightsBaseline,ROW()-ROW(S$95),NumberOfAssets),INT(INDEX(tblAssetMenuSpecs[Is Government Bond Other Developed Markets],1):(INDEX(tblAssetMenuSpecs[Is Government Bond Other Developed Markets],NumberOfAssets))))</f>
        <v>0</v>
      </c>
      <c r="AA116" s="280">
        <f>MMULT(INDEX(ReportAssetWeightsBaseline,ROW()-ROW(T$95),1):INDEX(ReportAssetWeightsBaseline,ROW()-ROW(T$95),NumberOfAssets),INT(INDEX(tblAssetMenuSpecs[Is Government Bond Emerging Markets],1):(INDEX(tblAssetMenuSpecs[Is Government Bond Emerging Markets],NumberOfAssets))))</f>
        <v>0</v>
      </c>
      <c r="AB116" s="280">
        <f>MMULT(INDEX(ReportAssetWeightsBaseline,ROW()-ROW(W$95),1):INDEX(ReportAssetWeightsBaseline,ROW()-ROW(W$95),NumberOfAssets),INT(INDEX(tblAssetMenuSpecs[Is Corporate Bond],1):(INDEX(tblAssetMenuSpecs[Is Corporate Bond],NumberOfAssets))))</f>
        <v>0</v>
      </c>
      <c r="AC116" s="280">
        <f>MMULT(INDEX(ReportAssetWeightsBaseline,ROW()-ROW(X$95),1):INDEX(ReportAssetWeightsBaseline,ROW()-ROW(X$95),NumberOfAssets),INT(INDEX(tblAssetMenuSpecs[Is Corporate Bond Non-Financial],1):(INDEX(tblAssetMenuSpecs[Is Corporate Bond Non-Financial],NumberOfAssets))))</f>
        <v>0</v>
      </c>
      <c r="AD116" s="280">
        <f>MMULT(INDEX(ReportAssetWeightsBaseline,ROW()-ROW(Y$95),1):INDEX(ReportAssetWeightsBaseline,ROW()-ROW(Y$95),NumberOfAssets),INT(INDEX(tblAssetMenuSpecs[Is Corporate Bond Financial],1):(INDEX(tblAssetMenuSpecs[Is Corporate Bond Financial],NumberOfAssets))))</f>
        <v>0</v>
      </c>
      <c r="AE116" s="280">
        <f>MMULT(INDEX(ReportAssetWeightsBaseline,ROW()-ROW(X$95),1):INDEX(ReportAssetWeightsBaseline,ROW()-ROW(X$95),NumberOfAssets),INT(INDEX(tblAssetMenuSpecs[Is Cash and Deposits],1):(INDEX(tblAssetMenuSpecs[Is Cash and Deposits],NumberOfAssets))))</f>
        <v>1</v>
      </c>
    </row>
    <row r="117" spans="6:31" x14ac:dyDescent="0.25">
      <c r="F117" s="278">
        <f t="shared" si="0"/>
        <v>14</v>
      </c>
      <c r="G117" s="279">
        <f>MMULT(INDEX(ReportAssetWeightsBaseline,ROW()-ROW(G$95),1):INDEX(ReportAssetWeightsBaseline,ROW()-ROW(G$95),NumberOfAssets),INT(INDEX(tblAssetMenuSpecs[IsEquities],1):(INDEX(tblAssetMenuSpecs[IsEquities],NumberOfAssets))))</f>
        <v>0</v>
      </c>
      <c r="H117" s="279">
        <f>MMULT(INDEX(ReportAssetWeightsBaseline,ROW()-ROW(H$95),1):INDEX(ReportAssetWeightsBaseline,ROW()-ROW(H$95),NumberOfAssets),INT(INDEX(tblAssetMenuSpecs[IsRealEstate],1):(INDEX(tblAssetMenuSpecs[IsRealEstate],NumberOfAssets))))</f>
        <v>0</v>
      </c>
      <c r="I117" s="279">
        <f>MMULT(INDEX(ReportAssetWeightsBaseline,ROW()-ROW(I$95),1):INDEX(ReportAssetWeightsBaseline,ROW()-ROW(I$95),NumberOfAssets),INT(INDEX(tblAssetMenuSpecs[IsAlternatives],1):(INDEX(tblAssetMenuSpecs[IsAlternatives],NumberOfAssets))))</f>
        <v>0</v>
      </c>
      <c r="J117" s="279">
        <f>MMULT(INDEX(ReportAssetWeightsBaseline,ROW()-ROW(J$95),1):INDEX(ReportAssetWeightsBaseline,ROW()-ROW(J$95),NumberOfAssets),INT(INDEX(tblAssetMenuSpecs[IsFixedIncome],1):(INDEX(tblAssetMenuSpecs[IsFixedIncome],NumberOfAssets))))</f>
        <v>1</v>
      </c>
      <c r="L117" s="280">
        <f>MMULT(INDEX(ReportAssetWeightsBaseline,ROW()-ROW(G$95),1):INDEX(ReportAssetWeightsBaseline,ROW()-ROW(G$95),NumberOfAssets),INT(INDEX(tblAssetMenuSpecs[Is Equities EU],1):(INDEX(tblAssetMenuSpecs[Is Equities EU],NumberOfAssets))))</f>
        <v>0</v>
      </c>
      <c r="M117" s="280">
        <f>MMULT(INDEX(ReportAssetWeightsBaseline,ROW()-ROW(H$95),1):INDEX(ReportAssetWeightsBaseline,ROW()-ROW(H$95),NumberOfAssets),INT(INDEX(tblAssetMenuSpecs[Is Equities US],1):(INDEX(tblAssetMenuSpecs[Is Equities US],NumberOfAssets))))</f>
        <v>0</v>
      </c>
      <c r="N117" s="280">
        <f>MMULT(INDEX(ReportAssetWeightsBaseline,ROW()-ROW(I$95),1):INDEX(ReportAssetWeightsBaseline,ROW()-ROW(I$95),NumberOfAssets),INT(INDEX(tblAssetMenuSpecs[Is Equities Other Developed Markets],1):(INDEX(tblAssetMenuSpecs[Is Equities Other Developed Markets],NumberOfAssets))))</f>
        <v>0</v>
      </c>
      <c r="O117" s="280">
        <f>MMULT(INDEX(ReportAssetWeightsBaseline,ROW()-ROW(J$95),1):INDEX(ReportAssetWeightsBaseline,ROW()-ROW(J$95),NumberOfAssets),INT(INDEX(tblAssetMenuSpecs[Is Equities Emerging Markets],1):(INDEX(tblAssetMenuSpecs[Is Equities Emerging Markets],NumberOfAssets))))</f>
        <v>0</v>
      </c>
      <c r="P117" s="280">
        <f>MMULT(INDEX(ReportAssetWeightsBaseline,ROW()-ROW(K$95),1):INDEX(ReportAssetWeightsBaseline,ROW()-ROW(K$95),NumberOfAssets),INT(INDEX(tblAssetMenuSpecs[Is Commodities],1):(INDEX(tblAssetMenuSpecs[Is Commodities],NumberOfAssets))))</f>
        <v>0</v>
      </c>
      <c r="Q117" s="280">
        <f>MMULT(INDEX(ReportAssetWeightsBaseline,ROW()-ROW(L$95),1):INDEX(ReportAssetWeightsBaseline,ROW()-ROW(L$95),NumberOfAssets),INT(INDEX(tblAssetMenuSpecs[Is Private Equity],1):(INDEX(tblAssetMenuSpecs[Is Private Equity],NumberOfAssets))))</f>
        <v>0</v>
      </c>
      <c r="R117" s="280">
        <f>MMULT(INDEX(ReportAssetWeightsBaseline,ROW()-ROW(M$95),1):INDEX(ReportAssetWeightsBaseline,ROW()-ROW(M$95),NumberOfAssets),INT(INDEX(tblAssetMenuSpecs[Is Hedge Funds],1):(INDEX(tblAssetMenuSpecs[Is Hedge Funds],NumberOfAssets))))</f>
        <v>0</v>
      </c>
      <c r="S117" s="280">
        <f>MMULT(INDEX(ReportAssetWeightsBaseline,ROW()-ROW(N$95),1):INDEX(ReportAssetWeightsBaseline,ROW()-ROW(N$95),NumberOfAssets),INT(INDEX(tblAssetMenuSpecs[Is Real Estate EU],1):(INDEX(tblAssetMenuSpecs[Is Real Estate EU],NumberOfAssets))))</f>
        <v>0</v>
      </c>
      <c r="T117" s="280">
        <f>MMULT(INDEX(ReportAssetWeightsBaseline,ROW()-ROW(O$95),1):INDEX(ReportAssetWeightsBaseline,ROW()-ROW(O$95),NumberOfAssets),INT(INDEX(tblAssetMenuSpecs[Is Real Estate US],1):(INDEX(tblAssetMenuSpecs[Is Real Estate US],NumberOfAssets))))</f>
        <v>0</v>
      </c>
      <c r="U117" s="280">
        <f>MMULT(INDEX(ReportAssetWeightsBaseline,ROW()-ROW(P$95),1):INDEX(ReportAssetWeightsBaseline,ROW()-ROW(P$95),NumberOfAssets),INT(INDEX(tblAssetMenuSpecs[Is Real Estate Other Developed Markets],1):(INDEX(tblAssetMenuSpecs[Is Real Estate Other Developed Markets],NumberOfAssets))))</f>
        <v>0</v>
      </c>
      <c r="V117" s="280">
        <f>MMULT(INDEX(ReportAssetWeightsBaseline,ROW()-ROW(Q$95),1):INDEX(ReportAssetWeightsBaseline,ROW()-ROW(Q$95),NumberOfAssets),INT(INDEX(tblAssetMenuSpecs[Is Real Estate Commercial EU (non-leveraged)],1):(INDEX(tblAssetMenuSpecs[Is Real Estate Commercial EU (non-leveraged)],NumberOfAssets))))</f>
        <v>0</v>
      </c>
      <c r="W117" s="280">
        <f>MMULT(INDEX(ReportAssetWeightsBaseline,ROW()-ROW(P$95),1):INDEX(ReportAssetWeightsBaseline,ROW()-ROW(P$95),NumberOfAssets),INT(INDEX(tblAssetMenuSpecs[Is Real Estate Residential EU (non-leveraged)],1):(INDEX(tblAssetMenuSpecs[Is Real Estate Residential EU (non-leveraged)],NumberOfAssets))))</f>
        <v>0</v>
      </c>
      <c r="X117" s="280">
        <f>MMULT(INDEX(ReportAssetWeightsBaseline,ROW()-ROW(Q$95),1):INDEX(ReportAssetWeightsBaseline,ROW()-ROW(Q$95),NumberOfAssets),INT(INDEX(tblAssetMenuSpecs[Is Government Bond EU],1):(INDEX(tblAssetMenuSpecs[Is Government Bond EU],NumberOfAssets))))</f>
        <v>0</v>
      </c>
      <c r="Y117" s="280">
        <f>MMULT(INDEX(ReportAssetWeightsBaseline,ROW()-ROW(R$95),1):INDEX(ReportAssetWeightsBaseline,ROW()-ROW(R$95),NumberOfAssets),INT(INDEX(tblAssetMenuSpecs[Is Government Bond US],1):(INDEX(tblAssetMenuSpecs[Is Government Bond US],NumberOfAssets))))</f>
        <v>0</v>
      </c>
      <c r="Z117" s="280">
        <f>MMULT(INDEX(ReportAssetWeightsBaseline,ROW()-ROW(S$95),1):INDEX(ReportAssetWeightsBaseline,ROW()-ROW(S$95),NumberOfAssets),INT(INDEX(tblAssetMenuSpecs[Is Government Bond Other Developed Markets],1):(INDEX(tblAssetMenuSpecs[Is Government Bond Other Developed Markets],NumberOfAssets))))</f>
        <v>0</v>
      </c>
      <c r="AA117" s="280">
        <f>MMULT(INDEX(ReportAssetWeightsBaseline,ROW()-ROW(T$95),1):INDEX(ReportAssetWeightsBaseline,ROW()-ROW(T$95),NumberOfAssets),INT(INDEX(tblAssetMenuSpecs[Is Government Bond Emerging Markets],1):(INDEX(tblAssetMenuSpecs[Is Government Bond Emerging Markets],NumberOfAssets))))</f>
        <v>0</v>
      </c>
      <c r="AB117" s="280">
        <f>MMULT(INDEX(ReportAssetWeightsBaseline,ROW()-ROW(W$95),1):INDEX(ReportAssetWeightsBaseline,ROW()-ROW(W$95),NumberOfAssets),INT(INDEX(tblAssetMenuSpecs[Is Corporate Bond],1):(INDEX(tblAssetMenuSpecs[Is Corporate Bond],NumberOfAssets))))</f>
        <v>0</v>
      </c>
      <c r="AC117" s="280">
        <f>MMULT(INDEX(ReportAssetWeightsBaseline,ROW()-ROW(X$95),1):INDEX(ReportAssetWeightsBaseline,ROW()-ROW(X$95),NumberOfAssets),INT(INDEX(tblAssetMenuSpecs[Is Corporate Bond Non-Financial],1):(INDEX(tblAssetMenuSpecs[Is Corporate Bond Non-Financial],NumberOfAssets))))</f>
        <v>0</v>
      </c>
      <c r="AD117" s="280">
        <f>MMULT(INDEX(ReportAssetWeightsBaseline,ROW()-ROW(Y$95),1):INDEX(ReportAssetWeightsBaseline,ROW()-ROW(Y$95),NumberOfAssets),INT(INDEX(tblAssetMenuSpecs[Is Corporate Bond Financial],1):(INDEX(tblAssetMenuSpecs[Is Corporate Bond Financial],NumberOfAssets))))</f>
        <v>0</v>
      </c>
      <c r="AE117" s="280">
        <f>MMULT(INDEX(ReportAssetWeightsBaseline,ROW()-ROW(X$95),1):INDEX(ReportAssetWeightsBaseline,ROW()-ROW(X$95),NumberOfAssets),INT(INDEX(tblAssetMenuSpecs[Is Cash and Deposits],1):(INDEX(tblAssetMenuSpecs[Is Cash and Deposits],NumberOfAssets))))</f>
        <v>1</v>
      </c>
    </row>
    <row r="118" spans="6:31" x14ac:dyDescent="0.25">
      <c r="F118" s="278">
        <f t="shared" si="0"/>
        <v>13</v>
      </c>
      <c r="G118" s="279">
        <f>MMULT(INDEX(ReportAssetWeightsBaseline,ROW()-ROW(G$95),1):INDEX(ReportAssetWeightsBaseline,ROW()-ROW(G$95),NumberOfAssets),INT(INDEX(tblAssetMenuSpecs[IsEquities],1):(INDEX(tblAssetMenuSpecs[IsEquities],NumberOfAssets))))</f>
        <v>0</v>
      </c>
      <c r="H118" s="279">
        <f>MMULT(INDEX(ReportAssetWeightsBaseline,ROW()-ROW(H$95),1):INDEX(ReportAssetWeightsBaseline,ROW()-ROW(H$95),NumberOfAssets),INT(INDEX(tblAssetMenuSpecs[IsRealEstate],1):(INDEX(tblAssetMenuSpecs[IsRealEstate],NumberOfAssets))))</f>
        <v>0</v>
      </c>
      <c r="I118" s="279">
        <f>MMULT(INDEX(ReportAssetWeightsBaseline,ROW()-ROW(I$95),1):INDEX(ReportAssetWeightsBaseline,ROW()-ROW(I$95),NumberOfAssets),INT(INDEX(tblAssetMenuSpecs[IsAlternatives],1):(INDEX(tblAssetMenuSpecs[IsAlternatives],NumberOfAssets))))</f>
        <v>0</v>
      </c>
      <c r="J118" s="279">
        <f>MMULT(INDEX(ReportAssetWeightsBaseline,ROW()-ROW(J$95),1):INDEX(ReportAssetWeightsBaseline,ROW()-ROW(J$95),NumberOfAssets),INT(INDEX(tblAssetMenuSpecs[IsFixedIncome],1):(INDEX(tblAssetMenuSpecs[IsFixedIncome],NumberOfAssets))))</f>
        <v>1</v>
      </c>
      <c r="L118" s="280">
        <f>MMULT(INDEX(ReportAssetWeightsBaseline,ROW()-ROW(G$95),1):INDEX(ReportAssetWeightsBaseline,ROW()-ROW(G$95),NumberOfAssets),INT(INDEX(tblAssetMenuSpecs[Is Equities EU],1):(INDEX(tblAssetMenuSpecs[Is Equities EU],NumberOfAssets))))</f>
        <v>0</v>
      </c>
      <c r="M118" s="280">
        <f>MMULT(INDEX(ReportAssetWeightsBaseline,ROW()-ROW(H$95),1):INDEX(ReportAssetWeightsBaseline,ROW()-ROW(H$95),NumberOfAssets),INT(INDEX(tblAssetMenuSpecs[Is Equities US],1):(INDEX(tblAssetMenuSpecs[Is Equities US],NumberOfAssets))))</f>
        <v>0</v>
      </c>
      <c r="N118" s="280">
        <f>MMULT(INDEX(ReportAssetWeightsBaseline,ROW()-ROW(I$95),1):INDEX(ReportAssetWeightsBaseline,ROW()-ROW(I$95),NumberOfAssets),INT(INDEX(tblAssetMenuSpecs[Is Equities Other Developed Markets],1):(INDEX(tblAssetMenuSpecs[Is Equities Other Developed Markets],NumberOfAssets))))</f>
        <v>0</v>
      </c>
      <c r="O118" s="280">
        <f>MMULT(INDEX(ReportAssetWeightsBaseline,ROW()-ROW(J$95),1):INDEX(ReportAssetWeightsBaseline,ROW()-ROW(J$95),NumberOfAssets),INT(INDEX(tblAssetMenuSpecs[Is Equities Emerging Markets],1):(INDEX(tblAssetMenuSpecs[Is Equities Emerging Markets],NumberOfAssets))))</f>
        <v>0</v>
      </c>
      <c r="P118" s="280">
        <f>MMULT(INDEX(ReportAssetWeightsBaseline,ROW()-ROW(K$95),1):INDEX(ReportAssetWeightsBaseline,ROW()-ROW(K$95),NumberOfAssets),INT(INDEX(tblAssetMenuSpecs[Is Commodities],1):(INDEX(tblAssetMenuSpecs[Is Commodities],NumberOfAssets))))</f>
        <v>0</v>
      </c>
      <c r="Q118" s="280">
        <f>MMULT(INDEX(ReportAssetWeightsBaseline,ROW()-ROW(L$95),1):INDEX(ReportAssetWeightsBaseline,ROW()-ROW(L$95),NumberOfAssets),INT(INDEX(tblAssetMenuSpecs[Is Private Equity],1):(INDEX(tblAssetMenuSpecs[Is Private Equity],NumberOfAssets))))</f>
        <v>0</v>
      </c>
      <c r="R118" s="280">
        <f>MMULT(INDEX(ReportAssetWeightsBaseline,ROW()-ROW(M$95),1):INDEX(ReportAssetWeightsBaseline,ROW()-ROW(M$95),NumberOfAssets),INT(INDEX(tblAssetMenuSpecs[Is Hedge Funds],1):(INDEX(tblAssetMenuSpecs[Is Hedge Funds],NumberOfAssets))))</f>
        <v>0</v>
      </c>
      <c r="S118" s="280">
        <f>MMULT(INDEX(ReportAssetWeightsBaseline,ROW()-ROW(N$95),1):INDEX(ReportAssetWeightsBaseline,ROW()-ROW(N$95),NumberOfAssets),INT(INDEX(tblAssetMenuSpecs[Is Real Estate EU],1):(INDEX(tblAssetMenuSpecs[Is Real Estate EU],NumberOfAssets))))</f>
        <v>0</v>
      </c>
      <c r="T118" s="280">
        <f>MMULT(INDEX(ReportAssetWeightsBaseline,ROW()-ROW(O$95),1):INDEX(ReportAssetWeightsBaseline,ROW()-ROW(O$95),NumberOfAssets),INT(INDEX(tblAssetMenuSpecs[Is Real Estate US],1):(INDEX(tblAssetMenuSpecs[Is Real Estate US],NumberOfAssets))))</f>
        <v>0</v>
      </c>
      <c r="U118" s="280">
        <f>MMULT(INDEX(ReportAssetWeightsBaseline,ROW()-ROW(P$95),1):INDEX(ReportAssetWeightsBaseline,ROW()-ROW(P$95),NumberOfAssets),INT(INDEX(tblAssetMenuSpecs[Is Real Estate Other Developed Markets],1):(INDEX(tblAssetMenuSpecs[Is Real Estate Other Developed Markets],NumberOfAssets))))</f>
        <v>0</v>
      </c>
      <c r="V118" s="280">
        <f>MMULT(INDEX(ReportAssetWeightsBaseline,ROW()-ROW(Q$95),1):INDEX(ReportAssetWeightsBaseline,ROW()-ROW(Q$95),NumberOfAssets),INT(INDEX(tblAssetMenuSpecs[Is Real Estate Commercial EU (non-leveraged)],1):(INDEX(tblAssetMenuSpecs[Is Real Estate Commercial EU (non-leveraged)],NumberOfAssets))))</f>
        <v>0</v>
      </c>
      <c r="W118" s="280">
        <f>MMULT(INDEX(ReportAssetWeightsBaseline,ROW()-ROW(P$95),1):INDEX(ReportAssetWeightsBaseline,ROW()-ROW(P$95),NumberOfAssets),INT(INDEX(tblAssetMenuSpecs[Is Real Estate Residential EU (non-leveraged)],1):(INDEX(tblAssetMenuSpecs[Is Real Estate Residential EU (non-leveraged)],NumberOfAssets))))</f>
        <v>0</v>
      </c>
      <c r="X118" s="280">
        <f>MMULT(INDEX(ReportAssetWeightsBaseline,ROW()-ROW(Q$95),1):INDEX(ReportAssetWeightsBaseline,ROW()-ROW(Q$95),NumberOfAssets),INT(INDEX(tblAssetMenuSpecs[Is Government Bond EU],1):(INDEX(tblAssetMenuSpecs[Is Government Bond EU],NumberOfAssets))))</f>
        <v>0</v>
      </c>
      <c r="Y118" s="280">
        <f>MMULT(INDEX(ReportAssetWeightsBaseline,ROW()-ROW(R$95),1):INDEX(ReportAssetWeightsBaseline,ROW()-ROW(R$95),NumberOfAssets),INT(INDEX(tblAssetMenuSpecs[Is Government Bond US],1):(INDEX(tblAssetMenuSpecs[Is Government Bond US],NumberOfAssets))))</f>
        <v>0</v>
      </c>
      <c r="Z118" s="280">
        <f>MMULT(INDEX(ReportAssetWeightsBaseline,ROW()-ROW(S$95),1):INDEX(ReportAssetWeightsBaseline,ROW()-ROW(S$95),NumberOfAssets),INT(INDEX(tblAssetMenuSpecs[Is Government Bond Other Developed Markets],1):(INDEX(tblAssetMenuSpecs[Is Government Bond Other Developed Markets],NumberOfAssets))))</f>
        <v>0</v>
      </c>
      <c r="AA118" s="280">
        <f>MMULT(INDEX(ReportAssetWeightsBaseline,ROW()-ROW(T$95),1):INDEX(ReportAssetWeightsBaseline,ROW()-ROW(T$95),NumberOfAssets),INT(INDEX(tblAssetMenuSpecs[Is Government Bond Emerging Markets],1):(INDEX(tblAssetMenuSpecs[Is Government Bond Emerging Markets],NumberOfAssets))))</f>
        <v>0</v>
      </c>
      <c r="AB118" s="280">
        <f>MMULT(INDEX(ReportAssetWeightsBaseline,ROW()-ROW(W$95),1):INDEX(ReportAssetWeightsBaseline,ROW()-ROW(W$95),NumberOfAssets),INT(INDEX(tblAssetMenuSpecs[Is Corporate Bond],1):(INDEX(tblAssetMenuSpecs[Is Corporate Bond],NumberOfAssets))))</f>
        <v>0</v>
      </c>
      <c r="AC118" s="280">
        <f>MMULT(INDEX(ReportAssetWeightsBaseline,ROW()-ROW(X$95),1):INDEX(ReportAssetWeightsBaseline,ROW()-ROW(X$95),NumberOfAssets),INT(INDEX(tblAssetMenuSpecs[Is Corporate Bond Non-Financial],1):(INDEX(tblAssetMenuSpecs[Is Corporate Bond Non-Financial],NumberOfAssets))))</f>
        <v>0</v>
      </c>
      <c r="AD118" s="280">
        <f>MMULT(INDEX(ReportAssetWeightsBaseline,ROW()-ROW(Y$95),1):INDEX(ReportAssetWeightsBaseline,ROW()-ROW(Y$95),NumberOfAssets),INT(INDEX(tblAssetMenuSpecs[Is Corporate Bond Financial],1):(INDEX(tblAssetMenuSpecs[Is Corporate Bond Financial],NumberOfAssets))))</f>
        <v>0</v>
      </c>
      <c r="AE118" s="280">
        <f>MMULT(INDEX(ReportAssetWeightsBaseline,ROW()-ROW(X$95),1):INDEX(ReportAssetWeightsBaseline,ROW()-ROW(X$95),NumberOfAssets),INT(INDEX(tblAssetMenuSpecs[Is Cash and Deposits],1):(INDEX(tblAssetMenuSpecs[Is Cash and Deposits],NumberOfAssets))))</f>
        <v>1</v>
      </c>
    </row>
    <row r="119" spans="6:31" x14ac:dyDescent="0.25">
      <c r="F119" s="278">
        <f t="shared" si="0"/>
        <v>12</v>
      </c>
      <c r="G119" s="279">
        <f>MMULT(INDEX(ReportAssetWeightsBaseline,ROW()-ROW(G$95),1):INDEX(ReportAssetWeightsBaseline,ROW()-ROW(G$95),NumberOfAssets),INT(INDEX(tblAssetMenuSpecs[IsEquities],1):(INDEX(tblAssetMenuSpecs[IsEquities],NumberOfAssets))))</f>
        <v>0</v>
      </c>
      <c r="H119" s="279">
        <f>MMULT(INDEX(ReportAssetWeightsBaseline,ROW()-ROW(H$95),1):INDEX(ReportAssetWeightsBaseline,ROW()-ROW(H$95),NumberOfAssets),INT(INDEX(tblAssetMenuSpecs[IsRealEstate],1):(INDEX(tblAssetMenuSpecs[IsRealEstate],NumberOfAssets))))</f>
        <v>0</v>
      </c>
      <c r="I119" s="279">
        <f>MMULT(INDEX(ReportAssetWeightsBaseline,ROW()-ROW(I$95),1):INDEX(ReportAssetWeightsBaseline,ROW()-ROW(I$95),NumberOfAssets),INT(INDEX(tblAssetMenuSpecs[IsAlternatives],1):(INDEX(tblAssetMenuSpecs[IsAlternatives],NumberOfAssets))))</f>
        <v>0</v>
      </c>
      <c r="J119" s="279">
        <f>MMULT(INDEX(ReportAssetWeightsBaseline,ROW()-ROW(J$95),1):INDEX(ReportAssetWeightsBaseline,ROW()-ROW(J$95),NumberOfAssets),INT(INDEX(tblAssetMenuSpecs[IsFixedIncome],1):(INDEX(tblAssetMenuSpecs[IsFixedIncome],NumberOfAssets))))</f>
        <v>1</v>
      </c>
      <c r="L119" s="280">
        <f>MMULT(INDEX(ReportAssetWeightsBaseline,ROW()-ROW(G$95),1):INDEX(ReportAssetWeightsBaseline,ROW()-ROW(G$95),NumberOfAssets),INT(INDEX(tblAssetMenuSpecs[Is Equities EU],1):(INDEX(tblAssetMenuSpecs[Is Equities EU],NumberOfAssets))))</f>
        <v>0</v>
      </c>
      <c r="M119" s="280">
        <f>MMULT(INDEX(ReportAssetWeightsBaseline,ROW()-ROW(H$95),1):INDEX(ReportAssetWeightsBaseline,ROW()-ROW(H$95),NumberOfAssets),INT(INDEX(tblAssetMenuSpecs[Is Equities US],1):(INDEX(tblAssetMenuSpecs[Is Equities US],NumberOfAssets))))</f>
        <v>0</v>
      </c>
      <c r="N119" s="280">
        <f>MMULT(INDEX(ReportAssetWeightsBaseline,ROW()-ROW(I$95),1):INDEX(ReportAssetWeightsBaseline,ROW()-ROW(I$95),NumberOfAssets),INT(INDEX(tblAssetMenuSpecs[Is Equities Other Developed Markets],1):(INDEX(tblAssetMenuSpecs[Is Equities Other Developed Markets],NumberOfAssets))))</f>
        <v>0</v>
      </c>
      <c r="O119" s="280">
        <f>MMULT(INDEX(ReportAssetWeightsBaseline,ROW()-ROW(J$95),1):INDEX(ReportAssetWeightsBaseline,ROW()-ROW(J$95),NumberOfAssets),INT(INDEX(tblAssetMenuSpecs[Is Equities Emerging Markets],1):(INDEX(tblAssetMenuSpecs[Is Equities Emerging Markets],NumberOfAssets))))</f>
        <v>0</v>
      </c>
      <c r="P119" s="280">
        <f>MMULT(INDEX(ReportAssetWeightsBaseline,ROW()-ROW(K$95),1):INDEX(ReportAssetWeightsBaseline,ROW()-ROW(K$95),NumberOfAssets),INT(INDEX(tblAssetMenuSpecs[Is Commodities],1):(INDEX(tblAssetMenuSpecs[Is Commodities],NumberOfAssets))))</f>
        <v>0</v>
      </c>
      <c r="Q119" s="280">
        <f>MMULT(INDEX(ReportAssetWeightsBaseline,ROW()-ROW(L$95),1):INDEX(ReportAssetWeightsBaseline,ROW()-ROW(L$95),NumberOfAssets),INT(INDEX(tblAssetMenuSpecs[Is Private Equity],1):(INDEX(tblAssetMenuSpecs[Is Private Equity],NumberOfAssets))))</f>
        <v>0</v>
      </c>
      <c r="R119" s="280">
        <f>MMULT(INDEX(ReportAssetWeightsBaseline,ROW()-ROW(M$95),1):INDEX(ReportAssetWeightsBaseline,ROW()-ROW(M$95),NumberOfAssets),INT(INDEX(tblAssetMenuSpecs[Is Hedge Funds],1):(INDEX(tblAssetMenuSpecs[Is Hedge Funds],NumberOfAssets))))</f>
        <v>0</v>
      </c>
      <c r="S119" s="280">
        <f>MMULT(INDEX(ReportAssetWeightsBaseline,ROW()-ROW(N$95),1):INDEX(ReportAssetWeightsBaseline,ROW()-ROW(N$95),NumberOfAssets),INT(INDEX(tblAssetMenuSpecs[Is Real Estate EU],1):(INDEX(tblAssetMenuSpecs[Is Real Estate EU],NumberOfAssets))))</f>
        <v>0</v>
      </c>
      <c r="T119" s="280">
        <f>MMULT(INDEX(ReportAssetWeightsBaseline,ROW()-ROW(O$95),1):INDEX(ReportAssetWeightsBaseline,ROW()-ROW(O$95),NumberOfAssets),INT(INDEX(tblAssetMenuSpecs[Is Real Estate US],1):(INDEX(tblAssetMenuSpecs[Is Real Estate US],NumberOfAssets))))</f>
        <v>0</v>
      </c>
      <c r="U119" s="280">
        <f>MMULT(INDEX(ReportAssetWeightsBaseline,ROW()-ROW(P$95),1):INDEX(ReportAssetWeightsBaseline,ROW()-ROW(P$95),NumberOfAssets),INT(INDEX(tblAssetMenuSpecs[Is Real Estate Other Developed Markets],1):(INDEX(tblAssetMenuSpecs[Is Real Estate Other Developed Markets],NumberOfAssets))))</f>
        <v>0</v>
      </c>
      <c r="V119" s="280">
        <f>MMULT(INDEX(ReportAssetWeightsBaseline,ROW()-ROW(Q$95),1):INDEX(ReportAssetWeightsBaseline,ROW()-ROW(Q$95),NumberOfAssets),INT(INDEX(tblAssetMenuSpecs[Is Real Estate Commercial EU (non-leveraged)],1):(INDEX(tblAssetMenuSpecs[Is Real Estate Commercial EU (non-leveraged)],NumberOfAssets))))</f>
        <v>0</v>
      </c>
      <c r="W119" s="280">
        <f>MMULT(INDEX(ReportAssetWeightsBaseline,ROW()-ROW(P$95),1):INDEX(ReportAssetWeightsBaseline,ROW()-ROW(P$95),NumberOfAssets),INT(INDEX(tblAssetMenuSpecs[Is Real Estate Residential EU (non-leveraged)],1):(INDEX(tblAssetMenuSpecs[Is Real Estate Residential EU (non-leveraged)],NumberOfAssets))))</f>
        <v>0</v>
      </c>
      <c r="X119" s="280">
        <f>MMULT(INDEX(ReportAssetWeightsBaseline,ROW()-ROW(Q$95),1):INDEX(ReportAssetWeightsBaseline,ROW()-ROW(Q$95),NumberOfAssets),INT(INDEX(tblAssetMenuSpecs[Is Government Bond EU],1):(INDEX(tblAssetMenuSpecs[Is Government Bond EU],NumberOfAssets))))</f>
        <v>0</v>
      </c>
      <c r="Y119" s="280">
        <f>MMULT(INDEX(ReportAssetWeightsBaseline,ROW()-ROW(R$95),1):INDEX(ReportAssetWeightsBaseline,ROW()-ROW(R$95),NumberOfAssets),INT(INDEX(tblAssetMenuSpecs[Is Government Bond US],1):(INDEX(tblAssetMenuSpecs[Is Government Bond US],NumberOfAssets))))</f>
        <v>0</v>
      </c>
      <c r="Z119" s="280">
        <f>MMULT(INDEX(ReportAssetWeightsBaseline,ROW()-ROW(S$95),1):INDEX(ReportAssetWeightsBaseline,ROW()-ROW(S$95),NumberOfAssets),INT(INDEX(tblAssetMenuSpecs[Is Government Bond Other Developed Markets],1):(INDEX(tblAssetMenuSpecs[Is Government Bond Other Developed Markets],NumberOfAssets))))</f>
        <v>0</v>
      </c>
      <c r="AA119" s="280">
        <f>MMULT(INDEX(ReportAssetWeightsBaseline,ROW()-ROW(T$95),1):INDEX(ReportAssetWeightsBaseline,ROW()-ROW(T$95),NumberOfAssets),INT(INDEX(tblAssetMenuSpecs[Is Government Bond Emerging Markets],1):(INDEX(tblAssetMenuSpecs[Is Government Bond Emerging Markets],NumberOfAssets))))</f>
        <v>0</v>
      </c>
      <c r="AB119" s="280">
        <f>MMULT(INDEX(ReportAssetWeightsBaseline,ROW()-ROW(W$95),1):INDEX(ReportAssetWeightsBaseline,ROW()-ROW(W$95),NumberOfAssets),INT(INDEX(tblAssetMenuSpecs[Is Corporate Bond],1):(INDEX(tblAssetMenuSpecs[Is Corporate Bond],NumberOfAssets))))</f>
        <v>0</v>
      </c>
      <c r="AC119" s="280">
        <f>MMULT(INDEX(ReportAssetWeightsBaseline,ROW()-ROW(X$95),1):INDEX(ReportAssetWeightsBaseline,ROW()-ROW(X$95),NumberOfAssets),INT(INDEX(tblAssetMenuSpecs[Is Corporate Bond Non-Financial],1):(INDEX(tblAssetMenuSpecs[Is Corporate Bond Non-Financial],NumberOfAssets))))</f>
        <v>0</v>
      </c>
      <c r="AD119" s="280">
        <f>MMULT(INDEX(ReportAssetWeightsBaseline,ROW()-ROW(Y$95),1):INDEX(ReportAssetWeightsBaseline,ROW()-ROW(Y$95),NumberOfAssets),INT(INDEX(tblAssetMenuSpecs[Is Corporate Bond Financial],1):(INDEX(tblAssetMenuSpecs[Is Corporate Bond Financial],NumberOfAssets))))</f>
        <v>0</v>
      </c>
      <c r="AE119" s="280">
        <f>MMULT(INDEX(ReportAssetWeightsBaseline,ROW()-ROW(X$95),1):INDEX(ReportAssetWeightsBaseline,ROW()-ROW(X$95),NumberOfAssets),INT(INDEX(tblAssetMenuSpecs[Is Cash and Deposits],1):(INDEX(tblAssetMenuSpecs[Is Cash and Deposits],NumberOfAssets))))</f>
        <v>1</v>
      </c>
    </row>
    <row r="120" spans="6:31" x14ac:dyDescent="0.25">
      <c r="F120" s="278">
        <f t="shared" si="0"/>
        <v>11</v>
      </c>
      <c r="G120" s="279">
        <f>MMULT(INDEX(ReportAssetWeightsBaseline,ROW()-ROW(G$95),1):INDEX(ReportAssetWeightsBaseline,ROW()-ROW(G$95),NumberOfAssets),INT(INDEX(tblAssetMenuSpecs[IsEquities],1):(INDEX(tblAssetMenuSpecs[IsEquities],NumberOfAssets))))</f>
        <v>0</v>
      </c>
      <c r="H120" s="279">
        <f>MMULT(INDEX(ReportAssetWeightsBaseline,ROW()-ROW(H$95),1):INDEX(ReportAssetWeightsBaseline,ROW()-ROW(H$95),NumberOfAssets),INT(INDEX(tblAssetMenuSpecs[IsRealEstate],1):(INDEX(tblAssetMenuSpecs[IsRealEstate],NumberOfAssets))))</f>
        <v>0</v>
      </c>
      <c r="I120" s="279">
        <f>MMULT(INDEX(ReportAssetWeightsBaseline,ROW()-ROW(I$95),1):INDEX(ReportAssetWeightsBaseline,ROW()-ROW(I$95),NumberOfAssets),INT(INDEX(tblAssetMenuSpecs[IsAlternatives],1):(INDEX(tblAssetMenuSpecs[IsAlternatives],NumberOfAssets))))</f>
        <v>0</v>
      </c>
      <c r="J120" s="279">
        <f>MMULT(INDEX(ReportAssetWeightsBaseline,ROW()-ROW(J$95),1):INDEX(ReportAssetWeightsBaseline,ROW()-ROW(J$95),NumberOfAssets),INT(INDEX(tblAssetMenuSpecs[IsFixedIncome],1):(INDEX(tblAssetMenuSpecs[IsFixedIncome],NumberOfAssets))))</f>
        <v>1</v>
      </c>
      <c r="L120" s="280">
        <f>MMULT(INDEX(ReportAssetWeightsBaseline,ROW()-ROW(G$95),1):INDEX(ReportAssetWeightsBaseline,ROW()-ROW(G$95),NumberOfAssets),INT(INDEX(tblAssetMenuSpecs[Is Equities EU],1):(INDEX(tblAssetMenuSpecs[Is Equities EU],NumberOfAssets))))</f>
        <v>0</v>
      </c>
      <c r="M120" s="280">
        <f>MMULT(INDEX(ReportAssetWeightsBaseline,ROW()-ROW(H$95),1):INDEX(ReportAssetWeightsBaseline,ROW()-ROW(H$95),NumberOfAssets),INT(INDEX(tblAssetMenuSpecs[Is Equities US],1):(INDEX(tblAssetMenuSpecs[Is Equities US],NumberOfAssets))))</f>
        <v>0</v>
      </c>
      <c r="N120" s="280">
        <f>MMULT(INDEX(ReportAssetWeightsBaseline,ROW()-ROW(I$95),1):INDEX(ReportAssetWeightsBaseline,ROW()-ROW(I$95),NumberOfAssets),INT(INDEX(tblAssetMenuSpecs[Is Equities Other Developed Markets],1):(INDEX(tblAssetMenuSpecs[Is Equities Other Developed Markets],NumberOfAssets))))</f>
        <v>0</v>
      </c>
      <c r="O120" s="280">
        <f>MMULT(INDEX(ReportAssetWeightsBaseline,ROW()-ROW(J$95),1):INDEX(ReportAssetWeightsBaseline,ROW()-ROW(J$95),NumberOfAssets),INT(INDEX(tblAssetMenuSpecs[Is Equities Emerging Markets],1):(INDEX(tblAssetMenuSpecs[Is Equities Emerging Markets],NumberOfAssets))))</f>
        <v>0</v>
      </c>
      <c r="P120" s="280">
        <f>MMULT(INDEX(ReportAssetWeightsBaseline,ROW()-ROW(K$95),1):INDEX(ReportAssetWeightsBaseline,ROW()-ROW(K$95),NumberOfAssets),INT(INDEX(tblAssetMenuSpecs[Is Commodities],1):(INDEX(tblAssetMenuSpecs[Is Commodities],NumberOfAssets))))</f>
        <v>0</v>
      </c>
      <c r="Q120" s="280">
        <f>MMULT(INDEX(ReportAssetWeightsBaseline,ROW()-ROW(L$95),1):INDEX(ReportAssetWeightsBaseline,ROW()-ROW(L$95),NumberOfAssets),INT(INDEX(tblAssetMenuSpecs[Is Private Equity],1):(INDEX(tblAssetMenuSpecs[Is Private Equity],NumberOfAssets))))</f>
        <v>0</v>
      </c>
      <c r="R120" s="280">
        <f>MMULT(INDEX(ReportAssetWeightsBaseline,ROW()-ROW(M$95),1):INDEX(ReportAssetWeightsBaseline,ROW()-ROW(M$95),NumberOfAssets),INT(INDEX(tblAssetMenuSpecs[Is Hedge Funds],1):(INDEX(tblAssetMenuSpecs[Is Hedge Funds],NumberOfAssets))))</f>
        <v>0</v>
      </c>
      <c r="S120" s="280">
        <f>MMULT(INDEX(ReportAssetWeightsBaseline,ROW()-ROW(N$95),1):INDEX(ReportAssetWeightsBaseline,ROW()-ROW(N$95),NumberOfAssets),INT(INDEX(tblAssetMenuSpecs[Is Real Estate EU],1):(INDEX(tblAssetMenuSpecs[Is Real Estate EU],NumberOfAssets))))</f>
        <v>0</v>
      </c>
      <c r="T120" s="280">
        <f>MMULT(INDEX(ReportAssetWeightsBaseline,ROW()-ROW(O$95),1):INDEX(ReportAssetWeightsBaseline,ROW()-ROW(O$95),NumberOfAssets),INT(INDEX(tblAssetMenuSpecs[Is Real Estate US],1):(INDEX(tblAssetMenuSpecs[Is Real Estate US],NumberOfAssets))))</f>
        <v>0</v>
      </c>
      <c r="U120" s="280">
        <f>MMULT(INDEX(ReportAssetWeightsBaseline,ROW()-ROW(P$95),1):INDEX(ReportAssetWeightsBaseline,ROW()-ROW(P$95),NumberOfAssets),INT(INDEX(tblAssetMenuSpecs[Is Real Estate Other Developed Markets],1):(INDEX(tblAssetMenuSpecs[Is Real Estate Other Developed Markets],NumberOfAssets))))</f>
        <v>0</v>
      </c>
      <c r="V120" s="280">
        <f>MMULT(INDEX(ReportAssetWeightsBaseline,ROW()-ROW(Q$95),1):INDEX(ReportAssetWeightsBaseline,ROW()-ROW(Q$95),NumberOfAssets),INT(INDEX(tblAssetMenuSpecs[Is Real Estate Commercial EU (non-leveraged)],1):(INDEX(tblAssetMenuSpecs[Is Real Estate Commercial EU (non-leveraged)],NumberOfAssets))))</f>
        <v>0</v>
      </c>
      <c r="W120" s="280">
        <f>MMULT(INDEX(ReportAssetWeightsBaseline,ROW()-ROW(P$95),1):INDEX(ReportAssetWeightsBaseline,ROW()-ROW(P$95),NumberOfAssets),INT(INDEX(tblAssetMenuSpecs[Is Real Estate Residential EU (non-leveraged)],1):(INDEX(tblAssetMenuSpecs[Is Real Estate Residential EU (non-leveraged)],NumberOfAssets))))</f>
        <v>0</v>
      </c>
      <c r="X120" s="280">
        <f>MMULT(INDEX(ReportAssetWeightsBaseline,ROW()-ROW(Q$95),1):INDEX(ReportAssetWeightsBaseline,ROW()-ROW(Q$95),NumberOfAssets),INT(INDEX(tblAssetMenuSpecs[Is Government Bond EU],1):(INDEX(tblAssetMenuSpecs[Is Government Bond EU],NumberOfAssets))))</f>
        <v>0</v>
      </c>
      <c r="Y120" s="280">
        <f>MMULT(INDEX(ReportAssetWeightsBaseline,ROW()-ROW(R$95),1):INDEX(ReportAssetWeightsBaseline,ROW()-ROW(R$95),NumberOfAssets),INT(INDEX(tblAssetMenuSpecs[Is Government Bond US],1):(INDEX(tblAssetMenuSpecs[Is Government Bond US],NumberOfAssets))))</f>
        <v>0</v>
      </c>
      <c r="Z120" s="280">
        <f>MMULT(INDEX(ReportAssetWeightsBaseline,ROW()-ROW(S$95),1):INDEX(ReportAssetWeightsBaseline,ROW()-ROW(S$95),NumberOfAssets),INT(INDEX(tblAssetMenuSpecs[Is Government Bond Other Developed Markets],1):(INDEX(tblAssetMenuSpecs[Is Government Bond Other Developed Markets],NumberOfAssets))))</f>
        <v>0</v>
      </c>
      <c r="AA120" s="280">
        <f>MMULT(INDEX(ReportAssetWeightsBaseline,ROW()-ROW(T$95),1):INDEX(ReportAssetWeightsBaseline,ROW()-ROW(T$95),NumberOfAssets),INT(INDEX(tblAssetMenuSpecs[Is Government Bond Emerging Markets],1):(INDEX(tblAssetMenuSpecs[Is Government Bond Emerging Markets],NumberOfAssets))))</f>
        <v>0</v>
      </c>
      <c r="AB120" s="280">
        <f>MMULT(INDEX(ReportAssetWeightsBaseline,ROW()-ROW(W$95),1):INDEX(ReportAssetWeightsBaseline,ROW()-ROW(W$95),NumberOfAssets),INT(INDEX(tblAssetMenuSpecs[Is Corporate Bond],1):(INDEX(tblAssetMenuSpecs[Is Corporate Bond],NumberOfAssets))))</f>
        <v>0</v>
      </c>
      <c r="AC120" s="280">
        <f>MMULT(INDEX(ReportAssetWeightsBaseline,ROW()-ROW(X$95),1):INDEX(ReportAssetWeightsBaseline,ROW()-ROW(X$95),NumberOfAssets),INT(INDEX(tblAssetMenuSpecs[Is Corporate Bond Non-Financial],1):(INDEX(tblAssetMenuSpecs[Is Corporate Bond Non-Financial],NumberOfAssets))))</f>
        <v>0</v>
      </c>
      <c r="AD120" s="280">
        <f>MMULT(INDEX(ReportAssetWeightsBaseline,ROW()-ROW(Y$95),1):INDEX(ReportAssetWeightsBaseline,ROW()-ROW(Y$95),NumberOfAssets),INT(INDEX(tblAssetMenuSpecs[Is Corporate Bond Financial],1):(INDEX(tblAssetMenuSpecs[Is Corporate Bond Financial],NumberOfAssets))))</f>
        <v>0</v>
      </c>
      <c r="AE120" s="280">
        <f>MMULT(INDEX(ReportAssetWeightsBaseline,ROW()-ROW(X$95),1):INDEX(ReportAssetWeightsBaseline,ROW()-ROW(X$95),NumberOfAssets),INT(INDEX(tblAssetMenuSpecs[Is Cash and Deposits],1):(INDEX(tblAssetMenuSpecs[Is Cash and Deposits],NumberOfAssets))))</f>
        <v>1</v>
      </c>
    </row>
    <row r="121" spans="6:31" x14ac:dyDescent="0.25">
      <c r="F121" s="278">
        <f t="shared" si="0"/>
        <v>10</v>
      </c>
      <c r="G121" s="279">
        <f>MMULT(INDEX(ReportAssetWeightsBaseline,ROW()-ROW(G$95),1):INDEX(ReportAssetWeightsBaseline,ROW()-ROW(G$95),NumberOfAssets),INT(INDEX(tblAssetMenuSpecs[IsEquities],1):(INDEX(tblAssetMenuSpecs[IsEquities],NumberOfAssets))))</f>
        <v>0</v>
      </c>
      <c r="H121" s="279">
        <f>MMULT(INDEX(ReportAssetWeightsBaseline,ROW()-ROW(H$95),1):INDEX(ReportAssetWeightsBaseline,ROW()-ROW(H$95),NumberOfAssets),INT(INDEX(tblAssetMenuSpecs[IsRealEstate],1):(INDEX(tblAssetMenuSpecs[IsRealEstate],NumberOfAssets))))</f>
        <v>0</v>
      </c>
      <c r="I121" s="279">
        <f>MMULT(INDEX(ReportAssetWeightsBaseline,ROW()-ROW(I$95),1):INDEX(ReportAssetWeightsBaseline,ROW()-ROW(I$95),NumberOfAssets),INT(INDEX(tblAssetMenuSpecs[IsAlternatives],1):(INDEX(tblAssetMenuSpecs[IsAlternatives],NumberOfAssets))))</f>
        <v>0</v>
      </c>
      <c r="J121" s="279">
        <f>MMULT(INDEX(ReportAssetWeightsBaseline,ROW()-ROW(J$95),1):INDEX(ReportAssetWeightsBaseline,ROW()-ROW(J$95),NumberOfAssets),INT(INDEX(tblAssetMenuSpecs[IsFixedIncome],1):(INDEX(tblAssetMenuSpecs[IsFixedIncome],NumberOfAssets))))</f>
        <v>1</v>
      </c>
      <c r="L121" s="280">
        <f>MMULT(INDEX(ReportAssetWeightsBaseline,ROW()-ROW(G$95),1):INDEX(ReportAssetWeightsBaseline,ROW()-ROW(G$95),NumberOfAssets),INT(INDEX(tblAssetMenuSpecs[Is Equities EU],1):(INDEX(tblAssetMenuSpecs[Is Equities EU],NumberOfAssets))))</f>
        <v>0</v>
      </c>
      <c r="M121" s="280">
        <f>MMULT(INDEX(ReportAssetWeightsBaseline,ROW()-ROW(H$95),1):INDEX(ReportAssetWeightsBaseline,ROW()-ROW(H$95),NumberOfAssets),INT(INDEX(tblAssetMenuSpecs[Is Equities US],1):(INDEX(tblAssetMenuSpecs[Is Equities US],NumberOfAssets))))</f>
        <v>0</v>
      </c>
      <c r="N121" s="280">
        <f>MMULT(INDEX(ReportAssetWeightsBaseline,ROW()-ROW(I$95),1):INDEX(ReportAssetWeightsBaseline,ROW()-ROW(I$95),NumberOfAssets),INT(INDEX(tblAssetMenuSpecs[Is Equities Other Developed Markets],1):(INDEX(tblAssetMenuSpecs[Is Equities Other Developed Markets],NumberOfAssets))))</f>
        <v>0</v>
      </c>
      <c r="O121" s="280">
        <f>MMULT(INDEX(ReportAssetWeightsBaseline,ROW()-ROW(J$95),1):INDEX(ReportAssetWeightsBaseline,ROW()-ROW(J$95),NumberOfAssets),INT(INDEX(tblAssetMenuSpecs[Is Equities Emerging Markets],1):(INDEX(tblAssetMenuSpecs[Is Equities Emerging Markets],NumberOfAssets))))</f>
        <v>0</v>
      </c>
      <c r="P121" s="280">
        <f>MMULT(INDEX(ReportAssetWeightsBaseline,ROW()-ROW(K$95),1):INDEX(ReportAssetWeightsBaseline,ROW()-ROW(K$95),NumberOfAssets),INT(INDEX(tblAssetMenuSpecs[Is Commodities],1):(INDEX(tblAssetMenuSpecs[Is Commodities],NumberOfAssets))))</f>
        <v>0</v>
      </c>
      <c r="Q121" s="280">
        <f>MMULT(INDEX(ReportAssetWeightsBaseline,ROW()-ROW(L$95),1):INDEX(ReportAssetWeightsBaseline,ROW()-ROW(L$95),NumberOfAssets),INT(INDEX(tblAssetMenuSpecs[Is Private Equity],1):(INDEX(tblAssetMenuSpecs[Is Private Equity],NumberOfAssets))))</f>
        <v>0</v>
      </c>
      <c r="R121" s="280">
        <f>MMULT(INDEX(ReportAssetWeightsBaseline,ROW()-ROW(M$95),1):INDEX(ReportAssetWeightsBaseline,ROW()-ROW(M$95),NumberOfAssets),INT(INDEX(tblAssetMenuSpecs[Is Hedge Funds],1):(INDEX(tblAssetMenuSpecs[Is Hedge Funds],NumberOfAssets))))</f>
        <v>0</v>
      </c>
      <c r="S121" s="280">
        <f>MMULT(INDEX(ReportAssetWeightsBaseline,ROW()-ROW(N$95),1):INDEX(ReportAssetWeightsBaseline,ROW()-ROW(N$95),NumberOfAssets),INT(INDEX(tblAssetMenuSpecs[Is Real Estate EU],1):(INDEX(tblAssetMenuSpecs[Is Real Estate EU],NumberOfAssets))))</f>
        <v>0</v>
      </c>
      <c r="T121" s="280">
        <f>MMULT(INDEX(ReportAssetWeightsBaseline,ROW()-ROW(O$95),1):INDEX(ReportAssetWeightsBaseline,ROW()-ROW(O$95),NumberOfAssets),INT(INDEX(tblAssetMenuSpecs[Is Real Estate US],1):(INDEX(tblAssetMenuSpecs[Is Real Estate US],NumberOfAssets))))</f>
        <v>0</v>
      </c>
      <c r="U121" s="280">
        <f>MMULT(INDEX(ReportAssetWeightsBaseline,ROW()-ROW(P$95),1):INDEX(ReportAssetWeightsBaseline,ROW()-ROW(P$95),NumberOfAssets),INT(INDEX(tblAssetMenuSpecs[Is Real Estate Other Developed Markets],1):(INDEX(tblAssetMenuSpecs[Is Real Estate Other Developed Markets],NumberOfAssets))))</f>
        <v>0</v>
      </c>
      <c r="V121" s="280">
        <f>MMULT(INDEX(ReportAssetWeightsBaseline,ROW()-ROW(Q$95),1):INDEX(ReportAssetWeightsBaseline,ROW()-ROW(Q$95),NumberOfAssets),INT(INDEX(tblAssetMenuSpecs[Is Real Estate Commercial EU (non-leveraged)],1):(INDEX(tblAssetMenuSpecs[Is Real Estate Commercial EU (non-leveraged)],NumberOfAssets))))</f>
        <v>0</v>
      </c>
      <c r="W121" s="280">
        <f>MMULT(INDEX(ReportAssetWeightsBaseline,ROW()-ROW(P$95),1):INDEX(ReportAssetWeightsBaseline,ROW()-ROW(P$95),NumberOfAssets),INT(INDEX(tblAssetMenuSpecs[Is Real Estate Residential EU (non-leveraged)],1):(INDEX(tblAssetMenuSpecs[Is Real Estate Residential EU (non-leveraged)],NumberOfAssets))))</f>
        <v>0</v>
      </c>
      <c r="X121" s="280">
        <f>MMULT(INDEX(ReportAssetWeightsBaseline,ROW()-ROW(Q$95),1):INDEX(ReportAssetWeightsBaseline,ROW()-ROW(Q$95),NumberOfAssets),INT(INDEX(tblAssetMenuSpecs[Is Government Bond EU],1):(INDEX(tblAssetMenuSpecs[Is Government Bond EU],NumberOfAssets))))</f>
        <v>0</v>
      </c>
      <c r="Y121" s="280">
        <f>MMULT(INDEX(ReportAssetWeightsBaseline,ROW()-ROW(R$95),1):INDEX(ReportAssetWeightsBaseline,ROW()-ROW(R$95),NumberOfAssets),INT(INDEX(tblAssetMenuSpecs[Is Government Bond US],1):(INDEX(tblAssetMenuSpecs[Is Government Bond US],NumberOfAssets))))</f>
        <v>0</v>
      </c>
      <c r="Z121" s="280">
        <f>MMULT(INDEX(ReportAssetWeightsBaseline,ROW()-ROW(S$95),1):INDEX(ReportAssetWeightsBaseline,ROW()-ROW(S$95),NumberOfAssets),INT(INDEX(tblAssetMenuSpecs[Is Government Bond Other Developed Markets],1):(INDEX(tblAssetMenuSpecs[Is Government Bond Other Developed Markets],NumberOfAssets))))</f>
        <v>0</v>
      </c>
      <c r="AA121" s="280">
        <f>MMULT(INDEX(ReportAssetWeightsBaseline,ROW()-ROW(T$95),1):INDEX(ReportAssetWeightsBaseline,ROW()-ROW(T$95),NumberOfAssets),INT(INDEX(tblAssetMenuSpecs[Is Government Bond Emerging Markets],1):(INDEX(tblAssetMenuSpecs[Is Government Bond Emerging Markets],NumberOfAssets))))</f>
        <v>0</v>
      </c>
      <c r="AB121" s="280">
        <f>MMULT(INDEX(ReportAssetWeightsBaseline,ROW()-ROW(W$95),1):INDEX(ReportAssetWeightsBaseline,ROW()-ROW(W$95),NumberOfAssets),INT(INDEX(tblAssetMenuSpecs[Is Corporate Bond],1):(INDEX(tblAssetMenuSpecs[Is Corporate Bond],NumberOfAssets))))</f>
        <v>0</v>
      </c>
      <c r="AC121" s="280">
        <f>MMULT(INDEX(ReportAssetWeightsBaseline,ROW()-ROW(X$95),1):INDEX(ReportAssetWeightsBaseline,ROW()-ROW(X$95),NumberOfAssets),INT(INDEX(tblAssetMenuSpecs[Is Corporate Bond Non-Financial],1):(INDEX(tblAssetMenuSpecs[Is Corporate Bond Non-Financial],NumberOfAssets))))</f>
        <v>0</v>
      </c>
      <c r="AD121" s="280">
        <f>MMULT(INDEX(ReportAssetWeightsBaseline,ROW()-ROW(Y$95),1):INDEX(ReportAssetWeightsBaseline,ROW()-ROW(Y$95),NumberOfAssets),INT(INDEX(tblAssetMenuSpecs[Is Corporate Bond Financial],1):(INDEX(tblAssetMenuSpecs[Is Corporate Bond Financial],NumberOfAssets))))</f>
        <v>0</v>
      </c>
      <c r="AE121" s="280">
        <f>MMULT(INDEX(ReportAssetWeightsBaseline,ROW()-ROW(X$95),1):INDEX(ReportAssetWeightsBaseline,ROW()-ROW(X$95),NumberOfAssets),INT(INDEX(tblAssetMenuSpecs[Is Cash and Deposits],1):(INDEX(tblAssetMenuSpecs[Is Cash and Deposits],NumberOfAssets))))</f>
        <v>1</v>
      </c>
    </row>
    <row r="122" spans="6:31" x14ac:dyDescent="0.25">
      <c r="F122" s="278">
        <f t="shared" si="0"/>
        <v>9</v>
      </c>
      <c r="G122" s="279">
        <f>MMULT(INDEX(ReportAssetWeightsBaseline,ROW()-ROW(G$95),1):INDEX(ReportAssetWeightsBaseline,ROW()-ROW(G$95),NumberOfAssets),INT(INDEX(tblAssetMenuSpecs[IsEquities],1):(INDEX(tblAssetMenuSpecs[IsEquities],NumberOfAssets))))</f>
        <v>0</v>
      </c>
      <c r="H122" s="279">
        <f>MMULT(INDEX(ReportAssetWeightsBaseline,ROW()-ROW(H$95),1):INDEX(ReportAssetWeightsBaseline,ROW()-ROW(H$95),NumberOfAssets),INT(INDEX(tblAssetMenuSpecs[IsRealEstate],1):(INDEX(tblAssetMenuSpecs[IsRealEstate],NumberOfAssets))))</f>
        <v>0</v>
      </c>
      <c r="I122" s="279">
        <f>MMULT(INDEX(ReportAssetWeightsBaseline,ROW()-ROW(I$95),1):INDEX(ReportAssetWeightsBaseline,ROW()-ROW(I$95),NumberOfAssets),INT(INDEX(tblAssetMenuSpecs[IsAlternatives],1):(INDEX(tblAssetMenuSpecs[IsAlternatives],NumberOfAssets))))</f>
        <v>0</v>
      </c>
      <c r="J122" s="279">
        <f>MMULT(INDEX(ReportAssetWeightsBaseline,ROW()-ROW(J$95),1):INDEX(ReportAssetWeightsBaseline,ROW()-ROW(J$95),NumberOfAssets),INT(INDEX(tblAssetMenuSpecs[IsFixedIncome],1):(INDEX(tblAssetMenuSpecs[IsFixedIncome],NumberOfAssets))))</f>
        <v>1</v>
      </c>
      <c r="L122" s="280">
        <f>MMULT(INDEX(ReportAssetWeightsBaseline,ROW()-ROW(G$95),1):INDEX(ReportAssetWeightsBaseline,ROW()-ROW(G$95),NumberOfAssets),INT(INDEX(tblAssetMenuSpecs[Is Equities EU],1):(INDEX(tblAssetMenuSpecs[Is Equities EU],NumberOfAssets))))</f>
        <v>0</v>
      </c>
      <c r="M122" s="280">
        <f>MMULT(INDEX(ReportAssetWeightsBaseline,ROW()-ROW(H$95),1):INDEX(ReportAssetWeightsBaseline,ROW()-ROW(H$95),NumberOfAssets),INT(INDEX(tblAssetMenuSpecs[Is Equities US],1):(INDEX(tblAssetMenuSpecs[Is Equities US],NumberOfAssets))))</f>
        <v>0</v>
      </c>
      <c r="N122" s="280">
        <f>MMULT(INDEX(ReportAssetWeightsBaseline,ROW()-ROW(I$95),1):INDEX(ReportAssetWeightsBaseline,ROW()-ROW(I$95),NumberOfAssets),INT(INDEX(tblAssetMenuSpecs[Is Equities Other Developed Markets],1):(INDEX(tblAssetMenuSpecs[Is Equities Other Developed Markets],NumberOfAssets))))</f>
        <v>0</v>
      </c>
      <c r="O122" s="280">
        <f>MMULT(INDEX(ReportAssetWeightsBaseline,ROW()-ROW(J$95),1):INDEX(ReportAssetWeightsBaseline,ROW()-ROW(J$95),NumberOfAssets),INT(INDEX(tblAssetMenuSpecs[Is Equities Emerging Markets],1):(INDEX(tblAssetMenuSpecs[Is Equities Emerging Markets],NumberOfAssets))))</f>
        <v>0</v>
      </c>
      <c r="P122" s="280">
        <f>MMULT(INDEX(ReportAssetWeightsBaseline,ROW()-ROW(K$95),1):INDEX(ReportAssetWeightsBaseline,ROW()-ROW(K$95),NumberOfAssets),INT(INDEX(tblAssetMenuSpecs[Is Commodities],1):(INDEX(tblAssetMenuSpecs[Is Commodities],NumberOfAssets))))</f>
        <v>0</v>
      </c>
      <c r="Q122" s="280">
        <f>MMULT(INDEX(ReportAssetWeightsBaseline,ROW()-ROW(L$95),1):INDEX(ReportAssetWeightsBaseline,ROW()-ROW(L$95),NumberOfAssets),INT(INDEX(tblAssetMenuSpecs[Is Private Equity],1):(INDEX(tblAssetMenuSpecs[Is Private Equity],NumberOfAssets))))</f>
        <v>0</v>
      </c>
      <c r="R122" s="280">
        <f>MMULT(INDEX(ReportAssetWeightsBaseline,ROW()-ROW(M$95),1):INDEX(ReportAssetWeightsBaseline,ROW()-ROW(M$95),NumberOfAssets),INT(INDEX(tblAssetMenuSpecs[Is Hedge Funds],1):(INDEX(tblAssetMenuSpecs[Is Hedge Funds],NumberOfAssets))))</f>
        <v>0</v>
      </c>
      <c r="S122" s="280">
        <f>MMULT(INDEX(ReportAssetWeightsBaseline,ROW()-ROW(N$95),1):INDEX(ReportAssetWeightsBaseline,ROW()-ROW(N$95),NumberOfAssets),INT(INDEX(tblAssetMenuSpecs[Is Real Estate EU],1):(INDEX(tblAssetMenuSpecs[Is Real Estate EU],NumberOfAssets))))</f>
        <v>0</v>
      </c>
      <c r="T122" s="280">
        <f>MMULT(INDEX(ReportAssetWeightsBaseline,ROW()-ROW(O$95),1):INDEX(ReportAssetWeightsBaseline,ROW()-ROW(O$95),NumberOfAssets),INT(INDEX(tblAssetMenuSpecs[Is Real Estate US],1):(INDEX(tblAssetMenuSpecs[Is Real Estate US],NumberOfAssets))))</f>
        <v>0</v>
      </c>
      <c r="U122" s="280">
        <f>MMULT(INDEX(ReportAssetWeightsBaseline,ROW()-ROW(P$95),1):INDEX(ReportAssetWeightsBaseline,ROW()-ROW(P$95),NumberOfAssets),INT(INDEX(tblAssetMenuSpecs[Is Real Estate Other Developed Markets],1):(INDEX(tblAssetMenuSpecs[Is Real Estate Other Developed Markets],NumberOfAssets))))</f>
        <v>0</v>
      </c>
      <c r="V122" s="280">
        <f>MMULT(INDEX(ReportAssetWeightsBaseline,ROW()-ROW(Q$95),1):INDEX(ReportAssetWeightsBaseline,ROW()-ROW(Q$95),NumberOfAssets),INT(INDEX(tblAssetMenuSpecs[Is Real Estate Commercial EU (non-leveraged)],1):(INDEX(tblAssetMenuSpecs[Is Real Estate Commercial EU (non-leveraged)],NumberOfAssets))))</f>
        <v>0</v>
      </c>
      <c r="W122" s="280">
        <f>MMULT(INDEX(ReportAssetWeightsBaseline,ROW()-ROW(P$95),1):INDEX(ReportAssetWeightsBaseline,ROW()-ROW(P$95),NumberOfAssets),INT(INDEX(tblAssetMenuSpecs[Is Real Estate Residential EU (non-leveraged)],1):(INDEX(tblAssetMenuSpecs[Is Real Estate Residential EU (non-leveraged)],NumberOfAssets))))</f>
        <v>0</v>
      </c>
      <c r="X122" s="280">
        <f>MMULT(INDEX(ReportAssetWeightsBaseline,ROW()-ROW(Q$95),1):INDEX(ReportAssetWeightsBaseline,ROW()-ROW(Q$95),NumberOfAssets),INT(INDEX(tblAssetMenuSpecs[Is Government Bond EU],1):(INDEX(tblAssetMenuSpecs[Is Government Bond EU],NumberOfAssets))))</f>
        <v>0</v>
      </c>
      <c r="Y122" s="280">
        <f>MMULT(INDEX(ReportAssetWeightsBaseline,ROW()-ROW(R$95),1):INDEX(ReportAssetWeightsBaseline,ROW()-ROW(R$95),NumberOfAssets),INT(INDEX(tblAssetMenuSpecs[Is Government Bond US],1):(INDEX(tblAssetMenuSpecs[Is Government Bond US],NumberOfAssets))))</f>
        <v>0</v>
      </c>
      <c r="Z122" s="280">
        <f>MMULT(INDEX(ReportAssetWeightsBaseline,ROW()-ROW(S$95),1):INDEX(ReportAssetWeightsBaseline,ROW()-ROW(S$95),NumberOfAssets),INT(INDEX(tblAssetMenuSpecs[Is Government Bond Other Developed Markets],1):(INDEX(tblAssetMenuSpecs[Is Government Bond Other Developed Markets],NumberOfAssets))))</f>
        <v>0</v>
      </c>
      <c r="AA122" s="280">
        <f>MMULT(INDEX(ReportAssetWeightsBaseline,ROW()-ROW(T$95),1):INDEX(ReportAssetWeightsBaseline,ROW()-ROW(T$95),NumberOfAssets),INT(INDEX(tblAssetMenuSpecs[Is Government Bond Emerging Markets],1):(INDEX(tblAssetMenuSpecs[Is Government Bond Emerging Markets],NumberOfAssets))))</f>
        <v>0</v>
      </c>
      <c r="AB122" s="280">
        <f>MMULT(INDEX(ReportAssetWeightsBaseline,ROW()-ROW(W$95),1):INDEX(ReportAssetWeightsBaseline,ROW()-ROW(W$95),NumberOfAssets),INT(INDEX(tblAssetMenuSpecs[Is Corporate Bond],1):(INDEX(tblAssetMenuSpecs[Is Corporate Bond],NumberOfAssets))))</f>
        <v>0</v>
      </c>
      <c r="AC122" s="280">
        <f>MMULT(INDEX(ReportAssetWeightsBaseline,ROW()-ROW(X$95),1):INDEX(ReportAssetWeightsBaseline,ROW()-ROW(X$95),NumberOfAssets),INT(INDEX(tblAssetMenuSpecs[Is Corporate Bond Non-Financial],1):(INDEX(tblAssetMenuSpecs[Is Corporate Bond Non-Financial],NumberOfAssets))))</f>
        <v>0</v>
      </c>
      <c r="AD122" s="280">
        <f>MMULT(INDEX(ReportAssetWeightsBaseline,ROW()-ROW(Y$95),1):INDEX(ReportAssetWeightsBaseline,ROW()-ROW(Y$95),NumberOfAssets),INT(INDEX(tblAssetMenuSpecs[Is Corporate Bond Financial],1):(INDEX(tblAssetMenuSpecs[Is Corporate Bond Financial],NumberOfAssets))))</f>
        <v>0</v>
      </c>
      <c r="AE122" s="280">
        <f>MMULT(INDEX(ReportAssetWeightsBaseline,ROW()-ROW(X$95),1):INDEX(ReportAssetWeightsBaseline,ROW()-ROW(X$95),NumberOfAssets),INT(INDEX(tblAssetMenuSpecs[Is Cash and Deposits],1):(INDEX(tblAssetMenuSpecs[Is Cash and Deposits],NumberOfAssets))))</f>
        <v>1</v>
      </c>
    </row>
    <row r="123" spans="6:31" x14ac:dyDescent="0.25">
      <c r="F123" s="278">
        <f t="shared" si="0"/>
        <v>8</v>
      </c>
      <c r="G123" s="279">
        <f>MMULT(INDEX(ReportAssetWeightsBaseline,ROW()-ROW(G$95),1):INDEX(ReportAssetWeightsBaseline,ROW()-ROW(G$95),NumberOfAssets),INT(INDEX(tblAssetMenuSpecs[IsEquities],1):(INDEX(tblAssetMenuSpecs[IsEquities],NumberOfAssets))))</f>
        <v>0</v>
      </c>
      <c r="H123" s="279">
        <f>MMULT(INDEX(ReportAssetWeightsBaseline,ROW()-ROW(H$95),1):INDEX(ReportAssetWeightsBaseline,ROW()-ROW(H$95),NumberOfAssets),INT(INDEX(tblAssetMenuSpecs[IsRealEstate],1):(INDEX(tblAssetMenuSpecs[IsRealEstate],NumberOfAssets))))</f>
        <v>0</v>
      </c>
      <c r="I123" s="279">
        <f>MMULT(INDEX(ReportAssetWeightsBaseline,ROW()-ROW(I$95),1):INDEX(ReportAssetWeightsBaseline,ROW()-ROW(I$95),NumberOfAssets),INT(INDEX(tblAssetMenuSpecs[IsAlternatives],1):(INDEX(tblAssetMenuSpecs[IsAlternatives],NumberOfAssets))))</f>
        <v>0</v>
      </c>
      <c r="J123" s="279">
        <f>MMULT(INDEX(ReportAssetWeightsBaseline,ROW()-ROW(J$95),1):INDEX(ReportAssetWeightsBaseline,ROW()-ROW(J$95),NumberOfAssets),INT(INDEX(tblAssetMenuSpecs[IsFixedIncome],1):(INDEX(tblAssetMenuSpecs[IsFixedIncome],NumberOfAssets))))</f>
        <v>1</v>
      </c>
      <c r="L123" s="280">
        <f>MMULT(INDEX(ReportAssetWeightsBaseline,ROW()-ROW(G$95),1):INDEX(ReportAssetWeightsBaseline,ROW()-ROW(G$95),NumberOfAssets),INT(INDEX(tblAssetMenuSpecs[Is Equities EU],1):(INDEX(tblAssetMenuSpecs[Is Equities EU],NumberOfAssets))))</f>
        <v>0</v>
      </c>
      <c r="M123" s="280">
        <f>MMULT(INDEX(ReportAssetWeightsBaseline,ROW()-ROW(H$95),1):INDEX(ReportAssetWeightsBaseline,ROW()-ROW(H$95),NumberOfAssets),INT(INDEX(tblAssetMenuSpecs[Is Equities US],1):(INDEX(tblAssetMenuSpecs[Is Equities US],NumberOfAssets))))</f>
        <v>0</v>
      </c>
      <c r="N123" s="280">
        <f>MMULT(INDEX(ReportAssetWeightsBaseline,ROW()-ROW(I$95),1):INDEX(ReportAssetWeightsBaseline,ROW()-ROW(I$95),NumberOfAssets),INT(INDEX(tblAssetMenuSpecs[Is Equities Other Developed Markets],1):(INDEX(tblAssetMenuSpecs[Is Equities Other Developed Markets],NumberOfAssets))))</f>
        <v>0</v>
      </c>
      <c r="O123" s="280">
        <f>MMULT(INDEX(ReportAssetWeightsBaseline,ROW()-ROW(J$95),1):INDEX(ReportAssetWeightsBaseline,ROW()-ROW(J$95),NumberOfAssets),INT(INDEX(tblAssetMenuSpecs[Is Equities Emerging Markets],1):(INDEX(tblAssetMenuSpecs[Is Equities Emerging Markets],NumberOfAssets))))</f>
        <v>0</v>
      </c>
      <c r="P123" s="280">
        <f>MMULT(INDEX(ReportAssetWeightsBaseline,ROW()-ROW(K$95),1):INDEX(ReportAssetWeightsBaseline,ROW()-ROW(K$95),NumberOfAssets),INT(INDEX(tblAssetMenuSpecs[Is Commodities],1):(INDEX(tblAssetMenuSpecs[Is Commodities],NumberOfAssets))))</f>
        <v>0</v>
      </c>
      <c r="Q123" s="280">
        <f>MMULT(INDEX(ReportAssetWeightsBaseline,ROW()-ROW(L$95),1):INDEX(ReportAssetWeightsBaseline,ROW()-ROW(L$95),NumberOfAssets),INT(INDEX(tblAssetMenuSpecs[Is Private Equity],1):(INDEX(tblAssetMenuSpecs[Is Private Equity],NumberOfAssets))))</f>
        <v>0</v>
      </c>
      <c r="R123" s="280">
        <f>MMULT(INDEX(ReportAssetWeightsBaseline,ROW()-ROW(M$95),1):INDEX(ReportAssetWeightsBaseline,ROW()-ROW(M$95),NumberOfAssets),INT(INDEX(tblAssetMenuSpecs[Is Hedge Funds],1):(INDEX(tblAssetMenuSpecs[Is Hedge Funds],NumberOfAssets))))</f>
        <v>0</v>
      </c>
      <c r="S123" s="280">
        <f>MMULT(INDEX(ReportAssetWeightsBaseline,ROW()-ROW(N$95),1):INDEX(ReportAssetWeightsBaseline,ROW()-ROW(N$95),NumberOfAssets),INT(INDEX(tblAssetMenuSpecs[Is Real Estate EU],1):(INDEX(tblAssetMenuSpecs[Is Real Estate EU],NumberOfAssets))))</f>
        <v>0</v>
      </c>
      <c r="T123" s="280">
        <f>MMULT(INDEX(ReportAssetWeightsBaseline,ROW()-ROW(O$95),1):INDEX(ReportAssetWeightsBaseline,ROW()-ROW(O$95),NumberOfAssets),INT(INDEX(tblAssetMenuSpecs[Is Real Estate US],1):(INDEX(tblAssetMenuSpecs[Is Real Estate US],NumberOfAssets))))</f>
        <v>0</v>
      </c>
      <c r="U123" s="280">
        <f>MMULT(INDEX(ReportAssetWeightsBaseline,ROW()-ROW(P$95),1):INDEX(ReportAssetWeightsBaseline,ROW()-ROW(P$95),NumberOfAssets),INT(INDEX(tblAssetMenuSpecs[Is Real Estate Other Developed Markets],1):(INDEX(tblAssetMenuSpecs[Is Real Estate Other Developed Markets],NumberOfAssets))))</f>
        <v>0</v>
      </c>
      <c r="V123" s="280">
        <f>MMULT(INDEX(ReportAssetWeightsBaseline,ROW()-ROW(Q$95),1):INDEX(ReportAssetWeightsBaseline,ROW()-ROW(Q$95),NumberOfAssets),INT(INDEX(tblAssetMenuSpecs[Is Real Estate Commercial EU (non-leveraged)],1):(INDEX(tblAssetMenuSpecs[Is Real Estate Commercial EU (non-leveraged)],NumberOfAssets))))</f>
        <v>0</v>
      </c>
      <c r="W123" s="280">
        <f>MMULT(INDEX(ReportAssetWeightsBaseline,ROW()-ROW(P$95),1):INDEX(ReportAssetWeightsBaseline,ROW()-ROW(P$95),NumberOfAssets),INT(INDEX(tblAssetMenuSpecs[Is Real Estate Residential EU (non-leveraged)],1):(INDEX(tblAssetMenuSpecs[Is Real Estate Residential EU (non-leveraged)],NumberOfAssets))))</f>
        <v>0</v>
      </c>
      <c r="X123" s="280">
        <f>MMULT(INDEX(ReportAssetWeightsBaseline,ROW()-ROW(Q$95),1):INDEX(ReportAssetWeightsBaseline,ROW()-ROW(Q$95),NumberOfAssets),INT(INDEX(tblAssetMenuSpecs[Is Government Bond EU],1):(INDEX(tblAssetMenuSpecs[Is Government Bond EU],NumberOfAssets))))</f>
        <v>0</v>
      </c>
      <c r="Y123" s="280">
        <f>MMULT(INDEX(ReportAssetWeightsBaseline,ROW()-ROW(R$95),1):INDEX(ReportAssetWeightsBaseline,ROW()-ROW(R$95),NumberOfAssets),INT(INDEX(tblAssetMenuSpecs[Is Government Bond US],1):(INDEX(tblAssetMenuSpecs[Is Government Bond US],NumberOfAssets))))</f>
        <v>0</v>
      </c>
      <c r="Z123" s="280">
        <f>MMULT(INDEX(ReportAssetWeightsBaseline,ROW()-ROW(S$95),1):INDEX(ReportAssetWeightsBaseline,ROW()-ROW(S$95),NumberOfAssets),INT(INDEX(tblAssetMenuSpecs[Is Government Bond Other Developed Markets],1):(INDEX(tblAssetMenuSpecs[Is Government Bond Other Developed Markets],NumberOfAssets))))</f>
        <v>0</v>
      </c>
      <c r="AA123" s="280">
        <f>MMULT(INDEX(ReportAssetWeightsBaseline,ROW()-ROW(T$95),1):INDEX(ReportAssetWeightsBaseline,ROW()-ROW(T$95),NumberOfAssets),INT(INDEX(tblAssetMenuSpecs[Is Government Bond Emerging Markets],1):(INDEX(tblAssetMenuSpecs[Is Government Bond Emerging Markets],NumberOfAssets))))</f>
        <v>0</v>
      </c>
      <c r="AB123" s="280">
        <f>MMULT(INDEX(ReportAssetWeightsBaseline,ROW()-ROW(W$95),1):INDEX(ReportAssetWeightsBaseline,ROW()-ROW(W$95),NumberOfAssets),INT(INDEX(tblAssetMenuSpecs[Is Corporate Bond],1):(INDEX(tblAssetMenuSpecs[Is Corporate Bond],NumberOfAssets))))</f>
        <v>0</v>
      </c>
      <c r="AC123" s="280">
        <f>MMULT(INDEX(ReportAssetWeightsBaseline,ROW()-ROW(X$95),1):INDEX(ReportAssetWeightsBaseline,ROW()-ROW(X$95),NumberOfAssets),INT(INDEX(tblAssetMenuSpecs[Is Corporate Bond Non-Financial],1):(INDEX(tblAssetMenuSpecs[Is Corporate Bond Non-Financial],NumberOfAssets))))</f>
        <v>0</v>
      </c>
      <c r="AD123" s="280">
        <f>MMULT(INDEX(ReportAssetWeightsBaseline,ROW()-ROW(Y$95),1):INDEX(ReportAssetWeightsBaseline,ROW()-ROW(Y$95),NumberOfAssets),INT(INDEX(tblAssetMenuSpecs[Is Corporate Bond Financial],1):(INDEX(tblAssetMenuSpecs[Is Corporate Bond Financial],NumberOfAssets))))</f>
        <v>0</v>
      </c>
      <c r="AE123" s="280">
        <f>MMULT(INDEX(ReportAssetWeightsBaseline,ROW()-ROW(X$95),1):INDEX(ReportAssetWeightsBaseline,ROW()-ROW(X$95),NumberOfAssets),INT(INDEX(tblAssetMenuSpecs[Is Cash and Deposits],1):(INDEX(tblAssetMenuSpecs[Is Cash and Deposits],NumberOfAssets))))</f>
        <v>1</v>
      </c>
    </row>
    <row r="124" spans="6:31" x14ac:dyDescent="0.25">
      <c r="F124" s="278">
        <f t="shared" si="0"/>
        <v>7</v>
      </c>
      <c r="G124" s="279">
        <f>MMULT(INDEX(ReportAssetWeightsBaseline,ROW()-ROW(G$95),1):INDEX(ReportAssetWeightsBaseline,ROW()-ROW(G$95),NumberOfAssets),INT(INDEX(tblAssetMenuSpecs[IsEquities],1):(INDEX(tblAssetMenuSpecs[IsEquities],NumberOfAssets))))</f>
        <v>0</v>
      </c>
      <c r="H124" s="279">
        <f>MMULT(INDEX(ReportAssetWeightsBaseline,ROW()-ROW(H$95),1):INDEX(ReportAssetWeightsBaseline,ROW()-ROW(H$95),NumberOfAssets),INT(INDEX(tblAssetMenuSpecs[IsRealEstate],1):(INDEX(tblAssetMenuSpecs[IsRealEstate],NumberOfAssets))))</f>
        <v>0</v>
      </c>
      <c r="I124" s="279">
        <f>MMULT(INDEX(ReportAssetWeightsBaseline,ROW()-ROW(I$95),1):INDEX(ReportAssetWeightsBaseline,ROW()-ROW(I$95),NumberOfAssets),INT(INDEX(tblAssetMenuSpecs[IsAlternatives],1):(INDEX(tblAssetMenuSpecs[IsAlternatives],NumberOfAssets))))</f>
        <v>0</v>
      </c>
      <c r="J124" s="279">
        <f>MMULT(INDEX(ReportAssetWeightsBaseline,ROW()-ROW(J$95),1):INDEX(ReportAssetWeightsBaseline,ROW()-ROW(J$95),NumberOfAssets),INT(INDEX(tblAssetMenuSpecs[IsFixedIncome],1):(INDEX(tblAssetMenuSpecs[IsFixedIncome],NumberOfAssets))))</f>
        <v>1</v>
      </c>
      <c r="L124" s="280">
        <f>MMULT(INDEX(ReportAssetWeightsBaseline,ROW()-ROW(G$95),1):INDEX(ReportAssetWeightsBaseline,ROW()-ROW(G$95),NumberOfAssets),INT(INDEX(tblAssetMenuSpecs[Is Equities EU],1):(INDEX(tblAssetMenuSpecs[Is Equities EU],NumberOfAssets))))</f>
        <v>0</v>
      </c>
      <c r="M124" s="280">
        <f>MMULT(INDEX(ReportAssetWeightsBaseline,ROW()-ROW(H$95),1):INDEX(ReportAssetWeightsBaseline,ROW()-ROW(H$95),NumberOfAssets),INT(INDEX(tblAssetMenuSpecs[Is Equities US],1):(INDEX(tblAssetMenuSpecs[Is Equities US],NumberOfAssets))))</f>
        <v>0</v>
      </c>
      <c r="N124" s="280">
        <f>MMULT(INDEX(ReportAssetWeightsBaseline,ROW()-ROW(I$95),1):INDEX(ReportAssetWeightsBaseline,ROW()-ROW(I$95),NumberOfAssets),INT(INDEX(tblAssetMenuSpecs[Is Equities Other Developed Markets],1):(INDEX(tblAssetMenuSpecs[Is Equities Other Developed Markets],NumberOfAssets))))</f>
        <v>0</v>
      </c>
      <c r="O124" s="280">
        <f>MMULT(INDEX(ReportAssetWeightsBaseline,ROW()-ROW(J$95),1):INDEX(ReportAssetWeightsBaseline,ROW()-ROW(J$95),NumberOfAssets),INT(INDEX(tblAssetMenuSpecs[Is Equities Emerging Markets],1):(INDEX(tblAssetMenuSpecs[Is Equities Emerging Markets],NumberOfAssets))))</f>
        <v>0</v>
      </c>
      <c r="P124" s="280">
        <f>MMULT(INDEX(ReportAssetWeightsBaseline,ROW()-ROW(K$95),1):INDEX(ReportAssetWeightsBaseline,ROW()-ROW(K$95),NumberOfAssets),INT(INDEX(tblAssetMenuSpecs[Is Commodities],1):(INDEX(tblAssetMenuSpecs[Is Commodities],NumberOfAssets))))</f>
        <v>0</v>
      </c>
      <c r="Q124" s="280">
        <f>MMULT(INDEX(ReportAssetWeightsBaseline,ROW()-ROW(L$95),1):INDEX(ReportAssetWeightsBaseline,ROW()-ROW(L$95),NumberOfAssets),INT(INDEX(tblAssetMenuSpecs[Is Private Equity],1):(INDEX(tblAssetMenuSpecs[Is Private Equity],NumberOfAssets))))</f>
        <v>0</v>
      </c>
      <c r="R124" s="280">
        <f>MMULT(INDEX(ReportAssetWeightsBaseline,ROW()-ROW(M$95),1):INDEX(ReportAssetWeightsBaseline,ROW()-ROW(M$95),NumberOfAssets),INT(INDEX(tblAssetMenuSpecs[Is Hedge Funds],1):(INDEX(tblAssetMenuSpecs[Is Hedge Funds],NumberOfAssets))))</f>
        <v>0</v>
      </c>
      <c r="S124" s="280">
        <f>MMULT(INDEX(ReportAssetWeightsBaseline,ROW()-ROW(N$95),1):INDEX(ReportAssetWeightsBaseline,ROW()-ROW(N$95),NumberOfAssets),INT(INDEX(tblAssetMenuSpecs[Is Real Estate EU],1):(INDEX(tblAssetMenuSpecs[Is Real Estate EU],NumberOfAssets))))</f>
        <v>0</v>
      </c>
      <c r="T124" s="280">
        <f>MMULT(INDEX(ReportAssetWeightsBaseline,ROW()-ROW(O$95),1):INDEX(ReportAssetWeightsBaseline,ROW()-ROW(O$95),NumberOfAssets),INT(INDEX(tblAssetMenuSpecs[Is Real Estate US],1):(INDEX(tblAssetMenuSpecs[Is Real Estate US],NumberOfAssets))))</f>
        <v>0</v>
      </c>
      <c r="U124" s="280">
        <f>MMULT(INDEX(ReportAssetWeightsBaseline,ROW()-ROW(P$95),1):INDEX(ReportAssetWeightsBaseline,ROW()-ROW(P$95),NumberOfAssets),INT(INDEX(tblAssetMenuSpecs[Is Real Estate Other Developed Markets],1):(INDEX(tblAssetMenuSpecs[Is Real Estate Other Developed Markets],NumberOfAssets))))</f>
        <v>0</v>
      </c>
      <c r="V124" s="280">
        <f>MMULT(INDEX(ReportAssetWeightsBaseline,ROW()-ROW(Q$95),1):INDEX(ReportAssetWeightsBaseline,ROW()-ROW(Q$95),NumberOfAssets),INT(INDEX(tblAssetMenuSpecs[Is Real Estate Commercial EU (non-leveraged)],1):(INDEX(tblAssetMenuSpecs[Is Real Estate Commercial EU (non-leveraged)],NumberOfAssets))))</f>
        <v>0</v>
      </c>
      <c r="W124" s="280">
        <f>MMULT(INDEX(ReportAssetWeightsBaseline,ROW()-ROW(P$95),1):INDEX(ReportAssetWeightsBaseline,ROW()-ROW(P$95),NumberOfAssets),INT(INDEX(tblAssetMenuSpecs[Is Real Estate Residential EU (non-leveraged)],1):(INDEX(tblAssetMenuSpecs[Is Real Estate Residential EU (non-leveraged)],NumberOfAssets))))</f>
        <v>0</v>
      </c>
      <c r="X124" s="280">
        <f>MMULT(INDEX(ReportAssetWeightsBaseline,ROW()-ROW(Q$95),1):INDEX(ReportAssetWeightsBaseline,ROW()-ROW(Q$95),NumberOfAssets),INT(INDEX(tblAssetMenuSpecs[Is Government Bond EU],1):(INDEX(tblAssetMenuSpecs[Is Government Bond EU],NumberOfAssets))))</f>
        <v>0</v>
      </c>
      <c r="Y124" s="280">
        <f>MMULT(INDEX(ReportAssetWeightsBaseline,ROW()-ROW(R$95),1):INDEX(ReportAssetWeightsBaseline,ROW()-ROW(R$95),NumberOfAssets),INT(INDEX(tblAssetMenuSpecs[Is Government Bond US],1):(INDEX(tblAssetMenuSpecs[Is Government Bond US],NumberOfAssets))))</f>
        <v>0</v>
      </c>
      <c r="Z124" s="280">
        <f>MMULT(INDEX(ReportAssetWeightsBaseline,ROW()-ROW(S$95),1):INDEX(ReportAssetWeightsBaseline,ROW()-ROW(S$95),NumberOfAssets),INT(INDEX(tblAssetMenuSpecs[Is Government Bond Other Developed Markets],1):(INDEX(tblAssetMenuSpecs[Is Government Bond Other Developed Markets],NumberOfAssets))))</f>
        <v>0</v>
      </c>
      <c r="AA124" s="280">
        <f>MMULT(INDEX(ReportAssetWeightsBaseline,ROW()-ROW(T$95),1):INDEX(ReportAssetWeightsBaseline,ROW()-ROW(T$95),NumberOfAssets),INT(INDEX(tblAssetMenuSpecs[Is Government Bond Emerging Markets],1):(INDEX(tblAssetMenuSpecs[Is Government Bond Emerging Markets],NumberOfAssets))))</f>
        <v>0</v>
      </c>
      <c r="AB124" s="280">
        <f>MMULT(INDEX(ReportAssetWeightsBaseline,ROW()-ROW(W$95),1):INDEX(ReportAssetWeightsBaseline,ROW()-ROW(W$95),NumberOfAssets),INT(INDEX(tblAssetMenuSpecs[Is Corporate Bond],1):(INDEX(tblAssetMenuSpecs[Is Corporate Bond],NumberOfAssets))))</f>
        <v>0</v>
      </c>
      <c r="AC124" s="280">
        <f>MMULT(INDEX(ReportAssetWeightsBaseline,ROW()-ROW(X$95),1):INDEX(ReportAssetWeightsBaseline,ROW()-ROW(X$95),NumberOfAssets),INT(INDEX(tblAssetMenuSpecs[Is Corporate Bond Non-Financial],1):(INDEX(tblAssetMenuSpecs[Is Corporate Bond Non-Financial],NumberOfAssets))))</f>
        <v>0</v>
      </c>
      <c r="AD124" s="280">
        <f>MMULT(INDEX(ReportAssetWeightsBaseline,ROW()-ROW(Y$95),1):INDEX(ReportAssetWeightsBaseline,ROW()-ROW(Y$95),NumberOfAssets),INT(INDEX(tblAssetMenuSpecs[Is Corporate Bond Financial],1):(INDEX(tblAssetMenuSpecs[Is Corporate Bond Financial],NumberOfAssets))))</f>
        <v>0</v>
      </c>
      <c r="AE124" s="280">
        <f>MMULT(INDEX(ReportAssetWeightsBaseline,ROW()-ROW(X$95),1):INDEX(ReportAssetWeightsBaseline,ROW()-ROW(X$95),NumberOfAssets),INT(INDEX(tblAssetMenuSpecs[Is Cash and Deposits],1):(INDEX(tblAssetMenuSpecs[Is Cash and Deposits],NumberOfAssets))))</f>
        <v>1</v>
      </c>
    </row>
    <row r="125" spans="6:31" x14ac:dyDescent="0.25">
      <c r="F125" s="278">
        <f t="shared" si="0"/>
        <v>6</v>
      </c>
      <c r="G125" s="279">
        <f>MMULT(INDEX(ReportAssetWeightsBaseline,ROW()-ROW(G$95),1):INDEX(ReportAssetWeightsBaseline,ROW()-ROW(G$95),NumberOfAssets),INT(INDEX(tblAssetMenuSpecs[IsEquities],1):(INDEX(tblAssetMenuSpecs[IsEquities],NumberOfAssets))))</f>
        <v>0</v>
      </c>
      <c r="H125" s="279">
        <f>MMULT(INDEX(ReportAssetWeightsBaseline,ROW()-ROW(H$95),1):INDEX(ReportAssetWeightsBaseline,ROW()-ROW(H$95),NumberOfAssets),INT(INDEX(tblAssetMenuSpecs[IsRealEstate],1):(INDEX(tblAssetMenuSpecs[IsRealEstate],NumberOfAssets))))</f>
        <v>0</v>
      </c>
      <c r="I125" s="279">
        <f>MMULT(INDEX(ReportAssetWeightsBaseline,ROW()-ROW(I$95),1):INDEX(ReportAssetWeightsBaseline,ROW()-ROW(I$95),NumberOfAssets),INT(INDEX(tblAssetMenuSpecs[IsAlternatives],1):(INDEX(tblAssetMenuSpecs[IsAlternatives],NumberOfAssets))))</f>
        <v>0</v>
      </c>
      <c r="J125" s="279">
        <f>MMULT(INDEX(ReportAssetWeightsBaseline,ROW()-ROW(J$95),1):INDEX(ReportAssetWeightsBaseline,ROW()-ROW(J$95),NumberOfAssets),INT(INDEX(tblAssetMenuSpecs[IsFixedIncome],1):(INDEX(tblAssetMenuSpecs[IsFixedIncome],NumberOfAssets))))</f>
        <v>1</v>
      </c>
      <c r="L125" s="280">
        <f>MMULT(INDEX(ReportAssetWeightsBaseline,ROW()-ROW(G$95),1):INDEX(ReportAssetWeightsBaseline,ROW()-ROW(G$95),NumberOfAssets),INT(INDEX(tblAssetMenuSpecs[Is Equities EU],1):(INDEX(tblAssetMenuSpecs[Is Equities EU],NumberOfAssets))))</f>
        <v>0</v>
      </c>
      <c r="M125" s="280">
        <f>MMULT(INDEX(ReportAssetWeightsBaseline,ROW()-ROW(H$95),1):INDEX(ReportAssetWeightsBaseline,ROW()-ROW(H$95),NumberOfAssets),INT(INDEX(tblAssetMenuSpecs[Is Equities US],1):(INDEX(tblAssetMenuSpecs[Is Equities US],NumberOfAssets))))</f>
        <v>0</v>
      </c>
      <c r="N125" s="280">
        <f>MMULT(INDEX(ReportAssetWeightsBaseline,ROW()-ROW(I$95),1):INDEX(ReportAssetWeightsBaseline,ROW()-ROW(I$95),NumberOfAssets),INT(INDEX(tblAssetMenuSpecs[Is Equities Other Developed Markets],1):(INDEX(tblAssetMenuSpecs[Is Equities Other Developed Markets],NumberOfAssets))))</f>
        <v>0</v>
      </c>
      <c r="O125" s="280">
        <f>MMULT(INDEX(ReportAssetWeightsBaseline,ROW()-ROW(J$95),1):INDEX(ReportAssetWeightsBaseline,ROW()-ROW(J$95),NumberOfAssets),INT(INDEX(tblAssetMenuSpecs[Is Equities Emerging Markets],1):(INDEX(tblAssetMenuSpecs[Is Equities Emerging Markets],NumberOfAssets))))</f>
        <v>0</v>
      </c>
      <c r="P125" s="280">
        <f>MMULT(INDEX(ReportAssetWeightsBaseline,ROW()-ROW(K$95),1):INDEX(ReportAssetWeightsBaseline,ROW()-ROW(K$95),NumberOfAssets),INT(INDEX(tblAssetMenuSpecs[Is Commodities],1):(INDEX(tblAssetMenuSpecs[Is Commodities],NumberOfAssets))))</f>
        <v>0</v>
      </c>
      <c r="Q125" s="280">
        <f>MMULT(INDEX(ReportAssetWeightsBaseline,ROW()-ROW(L$95),1):INDEX(ReportAssetWeightsBaseline,ROW()-ROW(L$95),NumberOfAssets),INT(INDEX(tblAssetMenuSpecs[Is Private Equity],1):(INDEX(tblAssetMenuSpecs[Is Private Equity],NumberOfAssets))))</f>
        <v>0</v>
      </c>
      <c r="R125" s="280">
        <f>MMULT(INDEX(ReportAssetWeightsBaseline,ROW()-ROW(M$95),1):INDEX(ReportAssetWeightsBaseline,ROW()-ROW(M$95),NumberOfAssets),INT(INDEX(tblAssetMenuSpecs[Is Hedge Funds],1):(INDEX(tblAssetMenuSpecs[Is Hedge Funds],NumberOfAssets))))</f>
        <v>0</v>
      </c>
      <c r="S125" s="280">
        <f>MMULT(INDEX(ReportAssetWeightsBaseline,ROW()-ROW(N$95),1):INDEX(ReportAssetWeightsBaseline,ROW()-ROW(N$95),NumberOfAssets),INT(INDEX(tblAssetMenuSpecs[Is Real Estate EU],1):(INDEX(tblAssetMenuSpecs[Is Real Estate EU],NumberOfAssets))))</f>
        <v>0</v>
      </c>
      <c r="T125" s="280">
        <f>MMULT(INDEX(ReportAssetWeightsBaseline,ROW()-ROW(O$95),1):INDEX(ReportAssetWeightsBaseline,ROW()-ROW(O$95),NumberOfAssets),INT(INDEX(tblAssetMenuSpecs[Is Real Estate US],1):(INDEX(tblAssetMenuSpecs[Is Real Estate US],NumberOfAssets))))</f>
        <v>0</v>
      </c>
      <c r="U125" s="280">
        <f>MMULT(INDEX(ReportAssetWeightsBaseline,ROW()-ROW(P$95),1):INDEX(ReportAssetWeightsBaseline,ROW()-ROW(P$95),NumberOfAssets),INT(INDEX(tblAssetMenuSpecs[Is Real Estate Other Developed Markets],1):(INDEX(tblAssetMenuSpecs[Is Real Estate Other Developed Markets],NumberOfAssets))))</f>
        <v>0</v>
      </c>
      <c r="V125" s="280">
        <f>MMULT(INDEX(ReportAssetWeightsBaseline,ROW()-ROW(Q$95),1):INDEX(ReportAssetWeightsBaseline,ROW()-ROW(Q$95),NumberOfAssets),INT(INDEX(tblAssetMenuSpecs[Is Real Estate Commercial EU (non-leveraged)],1):(INDEX(tblAssetMenuSpecs[Is Real Estate Commercial EU (non-leveraged)],NumberOfAssets))))</f>
        <v>0</v>
      </c>
      <c r="W125" s="280">
        <f>MMULT(INDEX(ReportAssetWeightsBaseline,ROW()-ROW(P$95),1):INDEX(ReportAssetWeightsBaseline,ROW()-ROW(P$95),NumberOfAssets),INT(INDEX(tblAssetMenuSpecs[Is Real Estate Residential EU (non-leveraged)],1):(INDEX(tblAssetMenuSpecs[Is Real Estate Residential EU (non-leveraged)],NumberOfAssets))))</f>
        <v>0</v>
      </c>
      <c r="X125" s="280">
        <f>MMULT(INDEX(ReportAssetWeightsBaseline,ROW()-ROW(Q$95),1):INDEX(ReportAssetWeightsBaseline,ROW()-ROW(Q$95),NumberOfAssets),INT(INDEX(tblAssetMenuSpecs[Is Government Bond EU],1):(INDEX(tblAssetMenuSpecs[Is Government Bond EU],NumberOfAssets))))</f>
        <v>0</v>
      </c>
      <c r="Y125" s="280">
        <f>MMULT(INDEX(ReportAssetWeightsBaseline,ROW()-ROW(R$95),1):INDEX(ReportAssetWeightsBaseline,ROW()-ROW(R$95),NumberOfAssets),INT(INDEX(tblAssetMenuSpecs[Is Government Bond US],1):(INDEX(tblAssetMenuSpecs[Is Government Bond US],NumberOfAssets))))</f>
        <v>0</v>
      </c>
      <c r="Z125" s="280">
        <f>MMULT(INDEX(ReportAssetWeightsBaseline,ROW()-ROW(S$95),1):INDEX(ReportAssetWeightsBaseline,ROW()-ROW(S$95),NumberOfAssets),INT(INDEX(tblAssetMenuSpecs[Is Government Bond Other Developed Markets],1):(INDEX(tblAssetMenuSpecs[Is Government Bond Other Developed Markets],NumberOfAssets))))</f>
        <v>0</v>
      </c>
      <c r="AA125" s="280">
        <f>MMULT(INDEX(ReportAssetWeightsBaseline,ROW()-ROW(T$95),1):INDEX(ReportAssetWeightsBaseline,ROW()-ROW(T$95),NumberOfAssets),INT(INDEX(tblAssetMenuSpecs[Is Government Bond Emerging Markets],1):(INDEX(tblAssetMenuSpecs[Is Government Bond Emerging Markets],NumberOfAssets))))</f>
        <v>0</v>
      </c>
      <c r="AB125" s="280">
        <f>MMULT(INDEX(ReportAssetWeightsBaseline,ROW()-ROW(W$95),1):INDEX(ReportAssetWeightsBaseline,ROW()-ROW(W$95),NumberOfAssets),INT(INDEX(tblAssetMenuSpecs[Is Corporate Bond],1):(INDEX(tblAssetMenuSpecs[Is Corporate Bond],NumberOfAssets))))</f>
        <v>0</v>
      </c>
      <c r="AC125" s="280">
        <f>MMULT(INDEX(ReportAssetWeightsBaseline,ROW()-ROW(X$95),1):INDEX(ReportAssetWeightsBaseline,ROW()-ROW(X$95),NumberOfAssets),INT(INDEX(tblAssetMenuSpecs[Is Corporate Bond Non-Financial],1):(INDEX(tblAssetMenuSpecs[Is Corporate Bond Non-Financial],NumberOfAssets))))</f>
        <v>0</v>
      </c>
      <c r="AD125" s="280">
        <f>MMULT(INDEX(ReportAssetWeightsBaseline,ROW()-ROW(Y$95),1):INDEX(ReportAssetWeightsBaseline,ROW()-ROW(Y$95),NumberOfAssets),INT(INDEX(tblAssetMenuSpecs[Is Corporate Bond Financial],1):(INDEX(tblAssetMenuSpecs[Is Corporate Bond Financial],NumberOfAssets))))</f>
        <v>0</v>
      </c>
      <c r="AE125" s="280">
        <f>MMULT(INDEX(ReportAssetWeightsBaseline,ROW()-ROW(X$95),1):INDEX(ReportAssetWeightsBaseline,ROW()-ROW(X$95),NumberOfAssets),INT(INDEX(tblAssetMenuSpecs[Is Cash and Deposits],1):(INDEX(tblAssetMenuSpecs[Is Cash and Deposits],NumberOfAssets))))</f>
        <v>1</v>
      </c>
    </row>
    <row r="126" spans="6:31" x14ac:dyDescent="0.25">
      <c r="F126" s="278">
        <f t="shared" si="0"/>
        <v>5</v>
      </c>
      <c r="G126" s="279">
        <f>MMULT(INDEX(ReportAssetWeightsBaseline,ROW()-ROW(G$95),1):INDEX(ReportAssetWeightsBaseline,ROW()-ROW(G$95),NumberOfAssets),INT(INDEX(tblAssetMenuSpecs[IsEquities],1):(INDEX(tblAssetMenuSpecs[IsEquities],NumberOfAssets))))</f>
        <v>0</v>
      </c>
      <c r="H126" s="279">
        <f>MMULT(INDEX(ReportAssetWeightsBaseline,ROW()-ROW(H$95),1):INDEX(ReportAssetWeightsBaseline,ROW()-ROW(H$95),NumberOfAssets),INT(INDEX(tblAssetMenuSpecs[IsRealEstate],1):(INDEX(tblAssetMenuSpecs[IsRealEstate],NumberOfAssets))))</f>
        <v>0</v>
      </c>
      <c r="I126" s="279">
        <f>MMULT(INDEX(ReportAssetWeightsBaseline,ROW()-ROW(I$95),1):INDEX(ReportAssetWeightsBaseline,ROW()-ROW(I$95),NumberOfAssets),INT(INDEX(tblAssetMenuSpecs[IsAlternatives],1):(INDEX(tblAssetMenuSpecs[IsAlternatives],NumberOfAssets))))</f>
        <v>0</v>
      </c>
      <c r="J126" s="279">
        <f>MMULT(INDEX(ReportAssetWeightsBaseline,ROW()-ROW(J$95),1):INDEX(ReportAssetWeightsBaseline,ROW()-ROW(J$95),NumberOfAssets),INT(INDEX(tblAssetMenuSpecs[IsFixedIncome],1):(INDEX(tblAssetMenuSpecs[IsFixedIncome],NumberOfAssets))))</f>
        <v>1</v>
      </c>
      <c r="L126" s="280">
        <f>MMULT(INDEX(ReportAssetWeightsBaseline,ROW()-ROW(G$95),1):INDEX(ReportAssetWeightsBaseline,ROW()-ROW(G$95),NumberOfAssets),INT(INDEX(tblAssetMenuSpecs[Is Equities EU],1):(INDEX(tblAssetMenuSpecs[Is Equities EU],NumberOfAssets))))</f>
        <v>0</v>
      </c>
      <c r="M126" s="280">
        <f>MMULT(INDEX(ReportAssetWeightsBaseline,ROW()-ROW(H$95),1):INDEX(ReportAssetWeightsBaseline,ROW()-ROW(H$95),NumberOfAssets),INT(INDEX(tblAssetMenuSpecs[Is Equities US],1):(INDEX(tblAssetMenuSpecs[Is Equities US],NumberOfAssets))))</f>
        <v>0</v>
      </c>
      <c r="N126" s="280">
        <f>MMULT(INDEX(ReportAssetWeightsBaseline,ROW()-ROW(I$95),1):INDEX(ReportAssetWeightsBaseline,ROW()-ROW(I$95),NumberOfAssets),INT(INDEX(tblAssetMenuSpecs[Is Equities Other Developed Markets],1):(INDEX(tblAssetMenuSpecs[Is Equities Other Developed Markets],NumberOfAssets))))</f>
        <v>0</v>
      </c>
      <c r="O126" s="280">
        <f>MMULT(INDEX(ReportAssetWeightsBaseline,ROW()-ROW(J$95),1):INDEX(ReportAssetWeightsBaseline,ROW()-ROW(J$95),NumberOfAssets),INT(INDEX(tblAssetMenuSpecs[Is Equities Emerging Markets],1):(INDEX(tblAssetMenuSpecs[Is Equities Emerging Markets],NumberOfAssets))))</f>
        <v>0</v>
      </c>
      <c r="P126" s="280">
        <f>MMULT(INDEX(ReportAssetWeightsBaseline,ROW()-ROW(K$95),1):INDEX(ReportAssetWeightsBaseline,ROW()-ROW(K$95),NumberOfAssets),INT(INDEX(tblAssetMenuSpecs[Is Commodities],1):(INDEX(tblAssetMenuSpecs[Is Commodities],NumberOfAssets))))</f>
        <v>0</v>
      </c>
      <c r="Q126" s="280">
        <f>MMULT(INDEX(ReportAssetWeightsBaseline,ROW()-ROW(L$95),1):INDEX(ReportAssetWeightsBaseline,ROW()-ROW(L$95),NumberOfAssets),INT(INDEX(tblAssetMenuSpecs[Is Private Equity],1):(INDEX(tblAssetMenuSpecs[Is Private Equity],NumberOfAssets))))</f>
        <v>0</v>
      </c>
      <c r="R126" s="280">
        <f>MMULT(INDEX(ReportAssetWeightsBaseline,ROW()-ROW(M$95),1):INDEX(ReportAssetWeightsBaseline,ROW()-ROW(M$95),NumberOfAssets),INT(INDEX(tblAssetMenuSpecs[Is Hedge Funds],1):(INDEX(tblAssetMenuSpecs[Is Hedge Funds],NumberOfAssets))))</f>
        <v>0</v>
      </c>
      <c r="S126" s="280">
        <f>MMULT(INDEX(ReportAssetWeightsBaseline,ROW()-ROW(N$95),1):INDEX(ReportAssetWeightsBaseline,ROW()-ROW(N$95),NumberOfAssets),INT(INDEX(tblAssetMenuSpecs[Is Real Estate EU],1):(INDEX(tblAssetMenuSpecs[Is Real Estate EU],NumberOfAssets))))</f>
        <v>0</v>
      </c>
      <c r="T126" s="280">
        <f>MMULT(INDEX(ReportAssetWeightsBaseline,ROW()-ROW(O$95),1):INDEX(ReportAssetWeightsBaseline,ROW()-ROW(O$95),NumberOfAssets),INT(INDEX(tblAssetMenuSpecs[Is Real Estate US],1):(INDEX(tblAssetMenuSpecs[Is Real Estate US],NumberOfAssets))))</f>
        <v>0</v>
      </c>
      <c r="U126" s="280">
        <f>MMULT(INDEX(ReportAssetWeightsBaseline,ROW()-ROW(P$95),1):INDEX(ReportAssetWeightsBaseline,ROW()-ROW(P$95),NumberOfAssets),INT(INDEX(tblAssetMenuSpecs[Is Real Estate Other Developed Markets],1):(INDEX(tblAssetMenuSpecs[Is Real Estate Other Developed Markets],NumberOfAssets))))</f>
        <v>0</v>
      </c>
      <c r="V126" s="280">
        <f>MMULT(INDEX(ReportAssetWeightsBaseline,ROW()-ROW(Q$95),1):INDEX(ReportAssetWeightsBaseline,ROW()-ROW(Q$95),NumberOfAssets),INT(INDEX(tblAssetMenuSpecs[Is Real Estate Commercial EU (non-leveraged)],1):(INDEX(tblAssetMenuSpecs[Is Real Estate Commercial EU (non-leveraged)],NumberOfAssets))))</f>
        <v>0</v>
      </c>
      <c r="W126" s="280">
        <f>MMULT(INDEX(ReportAssetWeightsBaseline,ROW()-ROW(P$95),1):INDEX(ReportAssetWeightsBaseline,ROW()-ROW(P$95),NumberOfAssets),INT(INDEX(tblAssetMenuSpecs[Is Real Estate Residential EU (non-leveraged)],1):(INDEX(tblAssetMenuSpecs[Is Real Estate Residential EU (non-leveraged)],NumberOfAssets))))</f>
        <v>0</v>
      </c>
      <c r="X126" s="280">
        <f>MMULT(INDEX(ReportAssetWeightsBaseline,ROW()-ROW(Q$95),1):INDEX(ReportAssetWeightsBaseline,ROW()-ROW(Q$95),NumberOfAssets),INT(INDEX(tblAssetMenuSpecs[Is Government Bond EU],1):(INDEX(tblAssetMenuSpecs[Is Government Bond EU],NumberOfAssets))))</f>
        <v>0</v>
      </c>
      <c r="Y126" s="280">
        <f>MMULT(INDEX(ReportAssetWeightsBaseline,ROW()-ROW(R$95),1):INDEX(ReportAssetWeightsBaseline,ROW()-ROW(R$95),NumberOfAssets),INT(INDEX(tblAssetMenuSpecs[Is Government Bond US],1):(INDEX(tblAssetMenuSpecs[Is Government Bond US],NumberOfAssets))))</f>
        <v>0</v>
      </c>
      <c r="Z126" s="280">
        <f>MMULT(INDEX(ReportAssetWeightsBaseline,ROW()-ROW(S$95),1):INDEX(ReportAssetWeightsBaseline,ROW()-ROW(S$95),NumberOfAssets),INT(INDEX(tblAssetMenuSpecs[Is Government Bond Other Developed Markets],1):(INDEX(tblAssetMenuSpecs[Is Government Bond Other Developed Markets],NumberOfAssets))))</f>
        <v>0</v>
      </c>
      <c r="AA126" s="280">
        <f>MMULT(INDEX(ReportAssetWeightsBaseline,ROW()-ROW(T$95),1):INDEX(ReportAssetWeightsBaseline,ROW()-ROW(T$95),NumberOfAssets),INT(INDEX(tblAssetMenuSpecs[Is Government Bond Emerging Markets],1):(INDEX(tblAssetMenuSpecs[Is Government Bond Emerging Markets],NumberOfAssets))))</f>
        <v>0</v>
      </c>
      <c r="AB126" s="280">
        <f>MMULT(INDEX(ReportAssetWeightsBaseline,ROW()-ROW(W$95),1):INDEX(ReportAssetWeightsBaseline,ROW()-ROW(W$95),NumberOfAssets),INT(INDEX(tblAssetMenuSpecs[Is Corporate Bond],1):(INDEX(tblAssetMenuSpecs[Is Corporate Bond],NumberOfAssets))))</f>
        <v>0</v>
      </c>
      <c r="AC126" s="280">
        <f>MMULT(INDEX(ReportAssetWeightsBaseline,ROW()-ROW(X$95),1):INDEX(ReportAssetWeightsBaseline,ROW()-ROW(X$95),NumberOfAssets),INT(INDEX(tblAssetMenuSpecs[Is Corporate Bond Non-Financial],1):(INDEX(tblAssetMenuSpecs[Is Corporate Bond Non-Financial],NumberOfAssets))))</f>
        <v>0</v>
      </c>
      <c r="AD126" s="280">
        <f>MMULT(INDEX(ReportAssetWeightsBaseline,ROW()-ROW(Y$95),1):INDEX(ReportAssetWeightsBaseline,ROW()-ROW(Y$95),NumberOfAssets),INT(INDEX(tblAssetMenuSpecs[Is Corporate Bond Financial],1):(INDEX(tblAssetMenuSpecs[Is Corporate Bond Financial],NumberOfAssets))))</f>
        <v>0</v>
      </c>
      <c r="AE126" s="280">
        <f>MMULT(INDEX(ReportAssetWeightsBaseline,ROW()-ROW(X$95),1):INDEX(ReportAssetWeightsBaseline,ROW()-ROW(X$95),NumberOfAssets),INT(INDEX(tblAssetMenuSpecs[Is Cash and Deposits],1):(INDEX(tblAssetMenuSpecs[Is Cash and Deposits],NumberOfAssets))))</f>
        <v>1</v>
      </c>
    </row>
    <row r="127" spans="6:31" x14ac:dyDescent="0.25">
      <c r="F127" s="278">
        <f t="shared" si="0"/>
        <v>4</v>
      </c>
      <c r="G127" s="279">
        <f>MMULT(INDEX(ReportAssetWeightsBaseline,ROW()-ROW(G$95),1):INDEX(ReportAssetWeightsBaseline,ROW()-ROW(G$95),NumberOfAssets),INT(INDEX(tblAssetMenuSpecs[IsEquities],1):(INDEX(tblAssetMenuSpecs[IsEquities],NumberOfAssets))))</f>
        <v>0</v>
      </c>
      <c r="H127" s="279">
        <f>MMULT(INDEX(ReportAssetWeightsBaseline,ROW()-ROW(H$95),1):INDEX(ReportAssetWeightsBaseline,ROW()-ROW(H$95),NumberOfAssets),INT(INDEX(tblAssetMenuSpecs[IsRealEstate],1):(INDEX(tblAssetMenuSpecs[IsRealEstate],NumberOfAssets))))</f>
        <v>0</v>
      </c>
      <c r="I127" s="279">
        <f>MMULT(INDEX(ReportAssetWeightsBaseline,ROW()-ROW(I$95),1):INDEX(ReportAssetWeightsBaseline,ROW()-ROW(I$95),NumberOfAssets),INT(INDEX(tblAssetMenuSpecs[IsAlternatives],1):(INDEX(tblAssetMenuSpecs[IsAlternatives],NumberOfAssets))))</f>
        <v>0</v>
      </c>
      <c r="J127" s="279">
        <f>MMULT(INDEX(ReportAssetWeightsBaseline,ROW()-ROW(J$95),1):INDEX(ReportAssetWeightsBaseline,ROW()-ROW(J$95),NumberOfAssets),INT(INDEX(tblAssetMenuSpecs[IsFixedIncome],1):(INDEX(tblAssetMenuSpecs[IsFixedIncome],NumberOfAssets))))</f>
        <v>1</v>
      </c>
      <c r="L127" s="280">
        <f>MMULT(INDEX(ReportAssetWeightsBaseline,ROW()-ROW(G$95),1):INDEX(ReportAssetWeightsBaseline,ROW()-ROW(G$95),NumberOfAssets),INT(INDEX(tblAssetMenuSpecs[Is Equities EU],1):(INDEX(tblAssetMenuSpecs[Is Equities EU],NumberOfAssets))))</f>
        <v>0</v>
      </c>
      <c r="M127" s="280">
        <f>MMULT(INDEX(ReportAssetWeightsBaseline,ROW()-ROW(H$95),1):INDEX(ReportAssetWeightsBaseline,ROW()-ROW(H$95),NumberOfAssets),INT(INDEX(tblAssetMenuSpecs[Is Equities US],1):(INDEX(tblAssetMenuSpecs[Is Equities US],NumberOfAssets))))</f>
        <v>0</v>
      </c>
      <c r="N127" s="280">
        <f>MMULT(INDEX(ReportAssetWeightsBaseline,ROW()-ROW(I$95),1):INDEX(ReportAssetWeightsBaseline,ROW()-ROW(I$95),NumberOfAssets),INT(INDEX(tblAssetMenuSpecs[Is Equities Other Developed Markets],1):(INDEX(tblAssetMenuSpecs[Is Equities Other Developed Markets],NumberOfAssets))))</f>
        <v>0</v>
      </c>
      <c r="O127" s="280">
        <f>MMULT(INDEX(ReportAssetWeightsBaseline,ROW()-ROW(J$95),1):INDEX(ReportAssetWeightsBaseline,ROW()-ROW(J$95),NumberOfAssets),INT(INDEX(tblAssetMenuSpecs[Is Equities Emerging Markets],1):(INDEX(tblAssetMenuSpecs[Is Equities Emerging Markets],NumberOfAssets))))</f>
        <v>0</v>
      </c>
      <c r="P127" s="280">
        <f>MMULT(INDEX(ReportAssetWeightsBaseline,ROW()-ROW(K$95),1):INDEX(ReportAssetWeightsBaseline,ROW()-ROW(K$95),NumberOfAssets),INT(INDEX(tblAssetMenuSpecs[Is Commodities],1):(INDEX(tblAssetMenuSpecs[Is Commodities],NumberOfAssets))))</f>
        <v>0</v>
      </c>
      <c r="Q127" s="280">
        <f>MMULT(INDEX(ReportAssetWeightsBaseline,ROW()-ROW(L$95),1):INDEX(ReportAssetWeightsBaseline,ROW()-ROW(L$95),NumberOfAssets),INT(INDEX(tblAssetMenuSpecs[Is Private Equity],1):(INDEX(tblAssetMenuSpecs[Is Private Equity],NumberOfAssets))))</f>
        <v>0</v>
      </c>
      <c r="R127" s="280">
        <f>MMULT(INDEX(ReportAssetWeightsBaseline,ROW()-ROW(M$95),1):INDEX(ReportAssetWeightsBaseline,ROW()-ROW(M$95),NumberOfAssets),INT(INDEX(tblAssetMenuSpecs[Is Hedge Funds],1):(INDEX(tblAssetMenuSpecs[Is Hedge Funds],NumberOfAssets))))</f>
        <v>0</v>
      </c>
      <c r="S127" s="280">
        <f>MMULT(INDEX(ReportAssetWeightsBaseline,ROW()-ROW(N$95),1):INDEX(ReportAssetWeightsBaseline,ROW()-ROW(N$95),NumberOfAssets),INT(INDEX(tblAssetMenuSpecs[Is Real Estate EU],1):(INDEX(tblAssetMenuSpecs[Is Real Estate EU],NumberOfAssets))))</f>
        <v>0</v>
      </c>
      <c r="T127" s="280">
        <f>MMULT(INDEX(ReportAssetWeightsBaseline,ROW()-ROW(O$95),1):INDEX(ReportAssetWeightsBaseline,ROW()-ROW(O$95),NumberOfAssets),INT(INDEX(tblAssetMenuSpecs[Is Real Estate US],1):(INDEX(tblAssetMenuSpecs[Is Real Estate US],NumberOfAssets))))</f>
        <v>0</v>
      </c>
      <c r="U127" s="280">
        <f>MMULT(INDEX(ReportAssetWeightsBaseline,ROW()-ROW(P$95),1):INDEX(ReportAssetWeightsBaseline,ROW()-ROW(P$95),NumberOfAssets),INT(INDEX(tblAssetMenuSpecs[Is Real Estate Other Developed Markets],1):(INDEX(tblAssetMenuSpecs[Is Real Estate Other Developed Markets],NumberOfAssets))))</f>
        <v>0</v>
      </c>
      <c r="V127" s="280">
        <f>MMULT(INDEX(ReportAssetWeightsBaseline,ROW()-ROW(Q$95),1):INDEX(ReportAssetWeightsBaseline,ROW()-ROW(Q$95),NumberOfAssets),INT(INDEX(tblAssetMenuSpecs[Is Real Estate Commercial EU (non-leveraged)],1):(INDEX(tblAssetMenuSpecs[Is Real Estate Commercial EU (non-leveraged)],NumberOfAssets))))</f>
        <v>0</v>
      </c>
      <c r="W127" s="280">
        <f>MMULT(INDEX(ReportAssetWeightsBaseline,ROW()-ROW(P$95),1):INDEX(ReportAssetWeightsBaseline,ROW()-ROW(P$95),NumberOfAssets),INT(INDEX(tblAssetMenuSpecs[Is Real Estate Residential EU (non-leveraged)],1):(INDEX(tblAssetMenuSpecs[Is Real Estate Residential EU (non-leveraged)],NumberOfAssets))))</f>
        <v>0</v>
      </c>
      <c r="X127" s="280">
        <f>MMULT(INDEX(ReportAssetWeightsBaseline,ROW()-ROW(Q$95),1):INDEX(ReportAssetWeightsBaseline,ROW()-ROW(Q$95),NumberOfAssets),INT(INDEX(tblAssetMenuSpecs[Is Government Bond EU],1):(INDEX(tblAssetMenuSpecs[Is Government Bond EU],NumberOfAssets))))</f>
        <v>0</v>
      </c>
      <c r="Y127" s="280">
        <f>MMULT(INDEX(ReportAssetWeightsBaseline,ROW()-ROW(R$95),1):INDEX(ReportAssetWeightsBaseline,ROW()-ROW(R$95),NumberOfAssets),INT(INDEX(tblAssetMenuSpecs[Is Government Bond US],1):(INDEX(tblAssetMenuSpecs[Is Government Bond US],NumberOfAssets))))</f>
        <v>0</v>
      </c>
      <c r="Z127" s="280">
        <f>MMULT(INDEX(ReportAssetWeightsBaseline,ROW()-ROW(S$95),1):INDEX(ReportAssetWeightsBaseline,ROW()-ROW(S$95),NumberOfAssets),INT(INDEX(tblAssetMenuSpecs[Is Government Bond Other Developed Markets],1):(INDEX(tblAssetMenuSpecs[Is Government Bond Other Developed Markets],NumberOfAssets))))</f>
        <v>0</v>
      </c>
      <c r="AA127" s="280">
        <f>MMULT(INDEX(ReportAssetWeightsBaseline,ROW()-ROW(T$95),1):INDEX(ReportAssetWeightsBaseline,ROW()-ROW(T$95),NumberOfAssets),INT(INDEX(tblAssetMenuSpecs[Is Government Bond Emerging Markets],1):(INDEX(tblAssetMenuSpecs[Is Government Bond Emerging Markets],NumberOfAssets))))</f>
        <v>0</v>
      </c>
      <c r="AB127" s="280">
        <f>MMULT(INDEX(ReportAssetWeightsBaseline,ROW()-ROW(W$95),1):INDEX(ReportAssetWeightsBaseline,ROW()-ROW(W$95),NumberOfAssets),INT(INDEX(tblAssetMenuSpecs[Is Corporate Bond],1):(INDEX(tblAssetMenuSpecs[Is Corporate Bond],NumberOfAssets))))</f>
        <v>0</v>
      </c>
      <c r="AC127" s="280">
        <f>MMULT(INDEX(ReportAssetWeightsBaseline,ROW()-ROW(X$95),1):INDEX(ReportAssetWeightsBaseline,ROW()-ROW(X$95),NumberOfAssets),INT(INDEX(tblAssetMenuSpecs[Is Corporate Bond Non-Financial],1):(INDEX(tblAssetMenuSpecs[Is Corporate Bond Non-Financial],NumberOfAssets))))</f>
        <v>0</v>
      </c>
      <c r="AD127" s="280">
        <f>MMULT(INDEX(ReportAssetWeightsBaseline,ROW()-ROW(Y$95),1):INDEX(ReportAssetWeightsBaseline,ROW()-ROW(Y$95),NumberOfAssets),INT(INDEX(tblAssetMenuSpecs[Is Corporate Bond Financial],1):(INDEX(tblAssetMenuSpecs[Is Corporate Bond Financial],NumberOfAssets))))</f>
        <v>0</v>
      </c>
      <c r="AE127" s="280">
        <f>MMULT(INDEX(ReportAssetWeightsBaseline,ROW()-ROW(X$95),1):INDEX(ReportAssetWeightsBaseline,ROW()-ROW(X$95),NumberOfAssets),INT(INDEX(tblAssetMenuSpecs[Is Cash and Deposits],1):(INDEX(tblAssetMenuSpecs[Is Cash and Deposits],NumberOfAssets))))</f>
        <v>1</v>
      </c>
    </row>
    <row r="128" spans="6:31" x14ac:dyDescent="0.25">
      <c r="F128" s="278">
        <f t="shared" si="0"/>
        <v>3</v>
      </c>
      <c r="G128" s="279">
        <f>MMULT(INDEX(ReportAssetWeightsBaseline,ROW()-ROW(G$95),1):INDEX(ReportAssetWeightsBaseline,ROW()-ROW(G$95),NumberOfAssets),INT(INDEX(tblAssetMenuSpecs[IsEquities],1):(INDEX(tblAssetMenuSpecs[IsEquities],NumberOfAssets))))</f>
        <v>0</v>
      </c>
      <c r="H128" s="279">
        <f>MMULT(INDEX(ReportAssetWeightsBaseline,ROW()-ROW(H$95),1):INDEX(ReportAssetWeightsBaseline,ROW()-ROW(H$95),NumberOfAssets),INT(INDEX(tblAssetMenuSpecs[IsRealEstate],1):(INDEX(tblAssetMenuSpecs[IsRealEstate],NumberOfAssets))))</f>
        <v>0</v>
      </c>
      <c r="I128" s="279">
        <f>MMULT(INDEX(ReportAssetWeightsBaseline,ROW()-ROW(I$95),1):INDEX(ReportAssetWeightsBaseline,ROW()-ROW(I$95),NumberOfAssets),INT(INDEX(tblAssetMenuSpecs[IsAlternatives],1):(INDEX(tblAssetMenuSpecs[IsAlternatives],NumberOfAssets))))</f>
        <v>0</v>
      </c>
      <c r="J128" s="279">
        <f>MMULT(INDEX(ReportAssetWeightsBaseline,ROW()-ROW(J$95),1):INDEX(ReportAssetWeightsBaseline,ROW()-ROW(J$95),NumberOfAssets),INT(INDEX(tblAssetMenuSpecs[IsFixedIncome],1):(INDEX(tblAssetMenuSpecs[IsFixedIncome],NumberOfAssets))))</f>
        <v>1</v>
      </c>
      <c r="L128" s="280">
        <f>MMULT(INDEX(ReportAssetWeightsBaseline,ROW()-ROW(G$95),1):INDEX(ReportAssetWeightsBaseline,ROW()-ROW(G$95),NumberOfAssets),INT(INDEX(tblAssetMenuSpecs[Is Equities EU],1):(INDEX(tblAssetMenuSpecs[Is Equities EU],NumberOfAssets))))</f>
        <v>0</v>
      </c>
      <c r="M128" s="280">
        <f>MMULT(INDEX(ReportAssetWeightsBaseline,ROW()-ROW(H$95),1):INDEX(ReportAssetWeightsBaseline,ROW()-ROW(H$95),NumberOfAssets),INT(INDEX(tblAssetMenuSpecs[Is Equities US],1):(INDEX(tblAssetMenuSpecs[Is Equities US],NumberOfAssets))))</f>
        <v>0</v>
      </c>
      <c r="N128" s="280">
        <f>MMULT(INDEX(ReportAssetWeightsBaseline,ROW()-ROW(I$95),1):INDEX(ReportAssetWeightsBaseline,ROW()-ROW(I$95),NumberOfAssets),INT(INDEX(tblAssetMenuSpecs[Is Equities Other Developed Markets],1):(INDEX(tblAssetMenuSpecs[Is Equities Other Developed Markets],NumberOfAssets))))</f>
        <v>0</v>
      </c>
      <c r="O128" s="280">
        <f>MMULT(INDEX(ReportAssetWeightsBaseline,ROW()-ROW(J$95),1):INDEX(ReportAssetWeightsBaseline,ROW()-ROW(J$95),NumberOfAssets),INT(INDEX(tblAssetMenuSpecs[Is Equities Emerging Markets],1):(INDEX(tblAssetMenuSpecs[Is Equities Emerging Markets],NumberOfAssets))))</f>
        <v>0</v>
      </c>
      <c r="P128" s="280">
        <f>MMULT(INDEX(ReportAssetWeightsBaseline,ROW()-ROW(K$95),1):INDEX(ReportAssetWeightsBaseline,ROW()-ROW(K$95),NumberOfAssets),INT(INDEX(tblAssetMenuSpecs[Is Commodities],1):(INDEX(tblAssetMenuSpecs[Is Commodities],NumberOfAssets))))</f>
        <v>0</v>
      </c>
      <c r="Q128" s="280">
        <f>MMULT(INDEX(ReportAssetWeightsBaseline,ROW()-ROW(L$95),1):INDEX(ReportAssetWeightsBaseline,ROW()-ROW(L$95),NumberOfAssets),INT(INDEX(tblAssetMenuSpecs[Is Private Equity],1):(INDEX(tblAssetMenuSpecs[Is Private Equity],NumberOfAssets))))</f>
        <v>0</v>
      </c>
      <c r="R128" s="280">
        <f>MMULT(INDEX(ReportAssetWeightsBaseline,ROW()-ROW(M$95),1):INDEX(ReportAssetWeightsBaseline,ROW()-ROW(M$95),NumberOfAssets),INT(INDEX(tblAssetMenuSpecs[Is Hedge Funds],1):(INDEX(tblAssetMenuSpecs[Is Hedge Funds],NumberOfAssets))))</f>
        <v>0</v>
      </c>
      <c r="S128" s="280">
        <f>MMULT(INDEX(ReportAssetWeightsBaseline,ROW()-ROW(N$95),1):INDEX(ReportAssetWeightsBaseline,ROW()-ROW(N$95),NumberOfAssets),INT(INDEX(tblAssetMenuSpecs[Is Real Estate EU],1):(INDEX(tblAssetMenuSpecs[Is Real Estate EU],NumberOfAssets))))</f>
        <v>0</v>
      </c>
      <c r="T128" s="280">
        <f>MMULT(INDEX(ReportAssetWeightsBaseline,ROW()-ROW(O$95),1):INDEX(ReportAssetWeightsBaseline,ROW()-ROW(O$95),NumberOfAssets),INT(INDEX(tblAssetMenuSpecs[Is Real Estate US],1):(INDEX(tblAssetMenuSpecs[Is Real Estate US],NumberOfAssets))))</f>
        <v>0</v>
      </c>
      <c r="U128" s="280">
        <f>MMULT(INDEX(ReportAssetWeightsBaseline,ROW()-ROW(P$95),1):INDEX(ReportAssetWeightsBaseline,ROW()-ROW(P$95),NumberOfAssets),INT(INDEX(tblAssetMenuSpecs[Is Real Estate Other Developed Markets],1):(INDEX(tblAssetMenuSpecs[Is Real Estate Other Developed Markets],NumberOfAssets))))</f>
        <v>0</v>
      </c>
      <c r="V128" s="280">
        <f>MMULT(INDEX(ReportAssetWeightsBaseline,ROW()-ROW(Q$95),1):INDEX(ReportAssetWeightsBaseline,ROW()-ROW(Q$95),NumberOfAssets),INT(INDEX(tblAssetMenuSpecs[Is Real Estate Commercial EU (non-leveraged)],1):(INDEX(tblAssetMenuSpecs[Is Real Estate Commercial EU (non-leveraged)],NumberOfAssets))))</f>
        <v>0</v>
      </c>
      <c r="W128" s="280">
        <f>MMULT(INDEX(ReportAssetWeightsBaseline,ROW()-ROW(P$95),1):INDEX(ReportAssetWeightsBaseline,ROW()-ROW(P$95),NumberOfAssets),INT(INDEX(tblAssetMenuSpecs[Is Real Estate Residential EU (non-leveraged)],1):(INDEX(tblAssetMenuSpecs[Is Real Estate Residential EU (non-leveraged)],NumberOfAssets))))</f>
        <v>0</v>
      </c>
      <c r="X128" s="280">
        <f>MMULT(INDEX(ReportAssetWeightsBaseline,ROW()-ROW(Q$95),1):INDEX(ReportAssetWeightsBaseline,ROW()-ROW(Q$95),NumberOfAssets),INT(INDEX(tblAssetMenuSpecs[Is Government Bond EU],1):(INDEX(tblAssetMenuSpecs[Is Government Bond EU],NumberOfAssets))))</f>
        <v>0</v>
      </c>
      <c r="Y128" s="280">
        <f>MMULT(INDEX(ReportAssetWeightsBaseline,ROW()-ROW(R$95),1):INDEX(ReportAssetWeightsBaseline,ROW()-ROW(R$95),NumberOfAssets),INT(INDEX(tblAssetMenuSpecs[Is Government Bond US],1):(INDEX(tblAssetMenuSpecs[Is Government Bond US],NumberOfAssets))))</f>
        <v>0</v>
      </c>
      <c r="Z128" s="280">
        <f>MMULT(INDEX(ReportAssetWeightsBaseline,ROW()-ROW(S$95),1):INDEX(ReportAssetWeightsBaseline,ROW()-ROW(S$95),NumberOfAssets),INT(INDEX(tblAssetMenuSpecs[Is Government Bond Other Developed Markets],1):(INDEX(tblAssetMenuSpecs[Is Government Bond Other Developed Markets],NumberOfAssets))))</f>
        <v>0</v>
      </c>
      <c r="AA128" s="280">
        <f>MMULT(INDEX(ReportAssetWeightsBaseline,ROW()-ROW(T$95),1):INDEX(ReportAssetWeightsBaseline,ROW()-ROW(T$95),NumberOfAssets),INT(INDEX(tblAssetMenuSpecs[Is Government Bond Emerging Markets],1):(INDEX(tblAssetMenuSpecs[Is Government Bond Emerging Markets],NumberOfAssets))))</f>
        <v>0</v>
      </c>
      <c r="AB128" s="280">
        <f>MMULT(INDEX(ReportAssetWeightsBaseline,ROW()-ROW(W$95),1):INDEX(ReportAssetWeightsBaseline,ROW()-ROW(W$95),NumberOfAssets),INT(INDEX(tblAssetMenuSpecs[Is Corporate Bond],1):(INDEX(tblAssetMenuSpecs[Is Corporate Bond],NumberOfAssets))))</f>
        <v>0</v>
      </c>
      <c r="AC128" s="280">
        <f>MMULT(INDEX(ReportAssetWeightsBaseline,ROW()-ROW(X$95),1):INDEX(ReportAssetWeightsBaseline,ROW()-ROW(X$95),NumberOfAssets),INT(INDEX(tblAssetMenuSpecs[Is Corporate Bond Non-Financial],1):(INDEX(tblAssetMenuSpecs[Is Corporate Bond Non-Financial],NumberOfAssets))))</f>
        <v>0</v>
      </c>
      <c r="AD128" s="280">
        <f>MMULT(INDEX(ReportAssetWeightsBaseline,ROW()-ROW(Y$95),1):INDEX(ReportAssetWeightsBaseline,ROW()-ROW(Y$95),NumberOfAssets),INT(INDEX(tblAssetMenuSpecs[Is Corporate Bond Financial],1):(INDEX(tblAssetMenuSpecs[Is Corporate Bond Financial],NumberOfAssets))))</f>
        <v>0</v>
      </c>
      <c r="AE128" s="280">
        <f>MMULT(INDEX(ReportAssetWeightsBaseline,ROW()-ROW(X$95),1):INDEX(ReportAssetWeightsBaseline,ROW()-ROW(X$95),NumberOfAssets),INT(INDEX(tblAssetMenuSpecs[Is Cash and Deposits],1):(INDEX(tblAssetMenuSpecs[Is Cash and Deposits],NumberOfAssets))))</f>
        <v>1</v>
      </c>
    </row>
    <row r="129" spans="6:31" x14ac:dyDescent="0.25">
      <c r="F129" s="278">
        <f t="shared" si="0"/>
        <v>2</v>
      </c>
      <c r="G129" s="279">
        <f>MMULT(INDEX(ReportAssetWeightsBaseline,ROW()-ROW(G$95),1):INDEX(ReportAssetWeightsBaseline,ROW()-ROW(G$95),NumberOfAssets),INT(INDEX(tblAssetMenuSpecs[IsEquities],1):(INDEX(tblAssetMenuSpecs[IsEquities],NumberOfAssets))))</f>
        <v>0</v>
      </c>
      <c r="H129" s="279">
        <f>MMULT(INDEX(ReportAssetWeightsBaseline,ROW()-ROW(H$95),1):INDEX(ReportAssetWeightsBaseline,ROW()-ROW(H$95),NumberOfAssets),INT(INDEX(tblAssetMenuSpecs[IsRealEstate],1):(INDEX(tblAssetMenuSpecs[IsRealEstate],NumberOfAssets))))</f>
        <v>0</v>
      </c>
      <c r="I129" s="279">
        <f>MMULT(INDEX(ReportAssetWeightsBaseline,ROW()-ROW(I$95),1):INDEX(ReportAssetWeightsBaseline,ROW()-ROW(I$95),NumberOfAssets),INT(INDEX(tblAssetMenuSpecs[IsAlternatives],1):(INDEX(tblAssetMenuSpecs[IsAlternatives],NumberOfAssets))))</f>
        <v>0</v>
      </c>
      <c r="J129" s="279">
        <f>MMULT(INDEX(ReportAssetWeightsBaseline,ROW()-ROW(J$95),1):INDEX(ReportAssetWeightsBaseline,ROW()-ROW(J$95),NumberOfAssets),INT(INDEX(tblAssetMenuSpecs[IsFixedIncome],1):(INDEX(tblAssetMenuSpecs[IsFixedIncome],NumberOfAssets))))</f>
        <v>1</v>
      </c>
      <c r="L129" s="280">
        <f>MMULT(INDEX(ReportAssetWeightsBaseline,ROW()-ROW(G$95),1):INDEX(ReportAssetWeightsBaseline,ROW()-ROW(G$95),NumberOfAssets),INT(INDEX(tblAssetMenuSpecs[Is Equities EU],1):(INDEX(tblAssetMenuSpecs[Is Equities EU],NumberOfAssets))))</f>
        <v>0</v>
      </c>
      <c r="M129" s="280">
        <f>MMULT(INDEX(ReportAssetWeightsBaseline,ROW()-ROW(H$95),1):INDEX(ReportAssetWeightsBaseline,ROW()-ROW(H$95),NumberOfAssets),INT(INDEX(tblAssetMenuSpecs[Is Equities US],1):(INDEX(tblAssetMenuSpecs[Is Equities US],NumberOfAssets))))</f>
        <v>0</v>
      </c>
      <c r="N129" s="280">
        <f>MMULT(INDEX(ReportAssetWeightsBaseline,ROW()-ROW(I$95),1):INDEX(ReportAssetWeightsBaseline,ROW()-ROW(I$95),NumberOfAssets),INT(INDEX(tblAssetMenuSpecs[Is Equities Other Developed Markets],1):(INDEX(tblAssetMenuSpecs[Is Equities Other Developed Markets],NumberOfAssets))))</f>
        <v>0</v>
      </c>
      <c r="O129" s="280">
        <f>MMULT(INDEX(ReportAssetWeightsBaseline,ROW()-ROW(J$95),1):INDEX(ReportAssetWeightsBaseline,ROW()-ROW(J$95),NumberOfAssets),INT(INDEX(tblAssetMenuSpecs[Is Equities Emerging Markets],1):(INDEX(tblAssetMenuSpecs[Is Equities Emerging Markets],NumberOfAssets))))</f>
        <v>0</v>
      </c>
      <c r="P129" s="280">
        <f>MMULT(INDEX(ReportAssetWeightsBaseline,ROW()-ROW(K$95),1):INDEX(ReportAssetWeightsBaseline,ROW()-ROW(K$95),NumberOfAssets),INT(INDEX(tblAssetMenuSpecs[Is Commodities],1):(INDEX(tblAssetMenuSpecs[Is Commodities],NumberOfAssets))))</f>
        <v>0</v>
      </c>
      <c r="Q129" s="280">
        <f>MMULT(INDEX(ReportAssetWeightsBaseline,ROW()-ROW(L$95),1):INDEX(ReportAssetWeightsBaseline,ROW()-ROW(L$95),NumberOfAssets),INT(INDEX(tblAssetMenuSpecs[Is Private Equity],1):(INDEX(tblAssetMenuSpecs[Is Private Equity],NumberOfAssets))))</f>
        <v>0</v>
      </c>
      <c r="R129" s="280">
        <f>MMULT(INDEX(ReportAssetWeightsBaseline,ROW()-ROW(M$95),1):INDEX(ReportAssetWeightsBaseline,ROW()-ROW(M$95),NumberOfAssets),INT(INDEX(tblAssetMenuSpecs[Is Hedge Funds],1):(INDEX(tblAssetMenuSpecs[Is Hedge Funds],NumberOfAssets))))</f>
        <v>0</v>
      </c>
      <c r="S129" s="280">
        <f>MMULT(INDEX(ReportAssetWeightsBaseline,ROW()-ROW(N$95),1):INDEX(ReportAssetWeightsBaseline,ROW()-ROW(N$95),NumberOfAssets),INT(INDEX(tblAssetMenuSpecs[Is Real Estate EU],1):(INDEX(tblAssetMenuSpecs[Is Real Estate EU],NumberOfAssets))))</f>
        <v>0</v>
      </c>
      <c r="T129" s="280">
        <f>MMULT(INDEX(ReportAssetWeightsBaseline,ROW()-ROW(O$95),1):INDEX(ReportAssetWeightsBaseline,ROW()-ROW(O$95),NumberOfAssets),INT(INDEX(tblAssetMenuSpecs[Is Real Estate US],1):(INDEX(tblAssetMenuSpecs[Is Real Estate US],NumberOfAssets))))</f>
        <v>0</v>
      </c>
      <c r="U129" s="280">
        <f>MMULT(INDEX(ReportAssetWeightsBaseline,ROW()-ROW(P$95),1):INDEX(ReportAssetWeightsBaseline,ROW()-ROW(P$95),NumberOfAssets),INT(INDEX(tblAssetMenuSpecs[Is Real Estate Other Developed Markets],1):(INDEX(tblAssetMenuSpecs[Is Real Estate Other Developed Markets],NumberOfAssets))))</f>
        <v>0</v>
      </c>
      <c r="V129" s="280">
        <f>MMULT(INDEX(ReportAssetWeightsBaseline,ROW()-ROW(Q$95),1):INDEX(ReportAssetWeightsBaseline,ROW()-ROW(Q$95),NumberOfAssets),INT(INDEX(tblAssetMenuSpecs[Is Real Estate Commercial EU (non-leveraged)],1):(INDEX(tblAssetMenuSpecs[Is Real Estate Commercial EU (non-leveraged)],NumberOfAssets))))</f>
        <v>0</v>
      </c>
      <c r="W129" s="280">
        <f>MMULT(INDEX(ReportAssetWeightsBaseline,ROW()-ROW(P$95),1):INDEX(ReportAssetWeightsBaseline,ROW()-ROW(P$95),NumberOfAssets),INT(INDEX(tblAssetMenuSpecs[Is Real Estate Residential EU (non-leveraged)],1):(INDEX(tblAssetMenuSpecs[Is Real Estate Residential EU (non-leveraged)],NumberOfAssets))))</f>
        <v>0</v>
      </c>
      <c r="X129" s="280">
        <f>MMULT(INDEX(ReportAssetWeightsBaseline,ROW()-ROW(Q$95),1):INDEX(ReportAssetWeightsBaseline,ROW()-ROW(Q$95),NumberOfAssets),INT(INDEX(tblAssetMenuSpecs[Is Government Bond EU],1):(INDEX(tblAssetMenuSpecs[Is Government Bond EU],NumberOfAssets))))</f>
        <v>0</v>
      </c>
      <c r="Y129" s="280">
        <f>MMULT(INDEX(ReportAssetWeightsBaseline,ROW()-ROW(R$95),1):INDEX(ReportAssetWeightsBaseline,ROW()-ROW(R$95),NumberOfAssets),INT(INDEX(tblAssetMenuSpecs[Is Government Bond US],1):(INDEX(tblAssetMenuSpecs[Is Government Bond US],NumberOfAssets))))</f>
        <v>0</v>
      </c>
      <c r="Z129" s="280">
        <f>MMULT(INDEX(ReportAssetWeightsBaseline,ROW()-ROW(S$95),1):INDEX(ReportAssetWeightsBaseline,ROW()-ROW(S$95),NumberOfAssets),INT(INDEX(tblAssetMenuSpecs[Is Government Bond Other Developed Markets],1):(INDEX(tblAssetMenuSpecs[Is Government Bond Other Developed Markets],NumberOfAssets))))</f>
        <v>0</v>
      </c>
      <c r="AA129" s="280">
        <f>MMULT(INDEX(ReportAssetWeightsBaseline,ROW()-ROW(T$95),1):INDEX(ReportAssetWeightsBaseline,ROW()-ROW(T$95),NumberOfAssets),INT(INDEX(tblAssetMenuSpecs[Is Government Bond Emerging Markets],1):(INDEX(tblAssetMenuSpecs[Is Government Bond Emerging Markets],NumberOfAssets))))</f>
        <v>0</v>
      </c>
      <c r="AB129" s="280">
        <f>MMULT(INDEX(ReportAssetWeightsBaseline,ROW()-ROW(W$95),1):INDEX(ReportAssetWeightsBaseline,ROW()-ROW(W$95),NumberOfAssets),INT(INDEX(tblAssetMenuSpecs[Is Corporate Bond],1):(INDEX(tblAssetMenuSpecs[Is Corporate Bond],NumberOfAssets))))</f>
        <v>0</v>
      </c>
      <c r="AC129" s="280">
        <f>MMULT(INDEX(ReportAssetWeightsBaseline,ROW()-ROW(X$95),1):INDEX(ReportAssetWeightsBaseline,ROW()-ROW(X$95),NumberOfAssets),INT(INDEX(tblAssetMenuSpecs[Is Corporate Bond Non-Financial],1):(INDEX(tblAssetMenuSpecs[Is Corporate Bond Non-Financial],NumberOfAssets))))</f>
        <v>0</v>
      </c>
      <c r="AD129" s="280">
        <f>MMULT(INDEX(ReportAssetWeightsBaseline,ROW()-ROW(Y$95),1):INDEX(ReportAssetWeightsBaseline,ROW()-ROW(Y$95),NumberOfAssets),INT(INDEX(tblAssetMenuSpecs[Is Corporate Bond Financial],1):(INDEX(tblAssetMenuSpecs[Is Corporate Bond Financial],NumberOfAssets))))</f>
        <v>0</v>
      </c>
      <c r="AE129" s="280">
        <f>MMULT(INDEX(ReportAssetWeightsBaseline,ROW()-ROW(X$95),1):INDEX(ReportAssetWeightsBaseline,ROW()-ROW(X$95),NumberOfAssets),INT(INDEX(tblAssetMenuSpecs[Is Cash and Deposits],1):(INDEX(tblAssetMenuSpecs[Is Cash and Deposits],NumberOfAssets))))</f>
        <v>1</v>
      </c>
    </row>
    <row r="130" spans="6:31" x14ac:dyDescent="0.25">
      <c r="F130" s="278">
        <f t="shared" si="0"/>
        <v>1</v>
      </c>
      <c r="G130" s="279">
        <f>MMULT(INDEX(ReportAssetWeightsBaseline,ROW()-ROW(G$95),1):INDEX(ReportAssetWeightsBaseline,ROW()-ROW(G$95),NumberOfAssets),INT(INDEX(tblAssetMenuSpecs[IsEquities],1):(INDEX(tblAssetMenuSpecs[IsEquities],NumberOfAssets))))</f>
        <v>0</v>
      </c>
      <c r="H130" s="279">
        <f>MMULT(INDEX(ReportAssetWeightsBaseline,ROW()-ROW(H$95),1):INDEX(ReportAssetWeightsBaseline,ROW()-ROW(H$95),NumberOfAssets),INT(INDEX(tblAssetMenuSpecs[IsRealEstate],1):(INDEX(tblAssetMenuSpecs[IsRealEstate],NumberOfAssets))))</f>
        <v>0</v>
      </c>
      <c r="I130" s="279">
        <f>MMULT(INDEX(ReportAssetWeightsBaseline,ROW()-ROW(I$95),1):INDEX(ReportAssetWeightsBaseline,ROW()-ROW(I$95),NumberOfAssets),INT(INDEX(tblAssetMenuSpecs[IsAlternatives],1):(INDEX(tblAssetMenuSpecs[IsAlternatives],NumberOfAssets))))</f>
        <v>0</v>
      </c>
      <c r="J130" s="279">
        <f>MMULT(INDEX(ReportAssetWeightsBaseline,ROW()-ROW(J$95),1):INDEX(ReportAssetWeightsBaseline,ROW()-ROW(J$95),NumberOfAssets),INT(INDEX(tblAssetMenuSpecs[IsFixedIncome],1):(INDEX(tblAssetMenuSpecs[IsFixedIncome],NumberOfAssets))))</f>
        <v>1</v>
      </c>
      <c r="L130" s="280">
        <f>MMULT(INDEX(ReportAssetWeightsBaseline,ROW()-ROW(G$95),1):INDEX(ReportAssetWeightsBaseline,ROW()-ROW(G$95),NumberOfAssets),INT(INDEX(tblAssetMenuSpecs[Is Equities EU],1):(INDEX(tblAssetMenuSpecs[Is Equities EU],NumberOfAssets))))</f>
        <v>0</v>
      </c>
      <c r="M130" s="280">
        <f>MMULT(INDEX(ReportAssetWeightsBaseline,ROW()-ROW(H$95),1):INDEX(ReportAssetWeightsBaseline,ROW()-ROW(H$95),NumberOfAssets),INT(INDEX(tblAssetMenuSpecs[Is Equities US],1):(INDEX(tblAssetMenuSpecs[Is Equities US],NumberOfAssets))))</f>
        <v>0</v>
      </c>
      <c r="N130" s="280">
        <f>MMULT(INDEX(ReportAssetWeightsBaseline,ROW()-ROW(I$95),1):INDEX(ReportAssetWeightsBaseline,ROW()-ROW(I$95),NumberOfAssets),INT(INDEX(tblAssetMenuSpecs[Is Equities Other Developed Markets],1):(INDEX(tblAssetMenuSpecs[Is Equities Other Developed Markets],NumberOfAssets))))</f>
        <v>0</v>
      </c>
      <c r="O130" s="280">
        <f>MMULT(INDEX(ReportAssetWeightsBaseline,ROW()-ROW(J$95),1):INDEX(ReportAssetWeightsBaseline,ROW()-ROW(J$95),NumberOfAssets),INT(INDEX(tblAssetMenuSpecs[Is Equities Emerging Markets],1):(INDEX(tblAssetMenuSpecs[Is Equities Emerging Markets],NumberOfAssets))))</f>
        <v>0</v>
      </c>
      <c r="P130" s="280">
        <f>MMULT(INDEX(ReportAssetWeightsBaseline,ROW()-ROW(K$95),1):INDEX(ReportAssetWeightsBaseline,ROW()-ROW(K$95),NumberOfAssets),INT(INDEX(tblAssetMenuSpecs[Is Commodities],1):(INDEX(tblAssetMenuSpecs[Is Commodities],NumberOfAssets))))</f>
        <v>0</v>
      </c>
      <c r="Q130" s="280">
        <f>MMULT(INDEX(ReportAssetWeightsBaseline,ROW()-ROW(L$95),1):INDEX(ReportAssetWeightsBaseline,ROW()-ROW(L$95),NumberOfAssets),INT(INDEX(tblAssetMenuSpecs[Is Private Equity],1):(INDEX(tblAssetMenuSpecs[Is Private Equity],NumberOfAssets))))</f>
        <v>0</v>
      </c>
      <c r="R130" s="280">
        <f>MMULT(INDEX(ReportAssetWeightsBaseline,ROW()-ROW(M$95),1):INDEX(ReportAssetWeightsBaseline,ROW()-ROW(M$95),NumberOfAssets),INT(INDEX(tblAssetMenuSpecs[Is Hedge Funds],1):(INDEX(tblAssetMenuSpecs[Is Hedge Funds],NumberOfAssets))))</f>
        <v>0</v>
      </c>
      <c r="S130" s="280">
        <f>MMULT(INDEX(ReportAssetWeightsBaseline,ROW()-ROW(N$95),1):INDEX(ReportAssetWeightsBaseline,ROW()-ROW(N$95),NumberOfAssets),INT(INDEX(tblAssetMenuSpecs[Is Real Estate EU],1):(INDEX(tblAssetMenuSpecs[Is Real Estate EU],NumberOfAssets))))</f>
        <v>0</v>
      </c>
      <c r="T130" s="280">
        <f>MMULT(INDEX(ReportAssetWeightsBaseline,ROW()-ROW(O$95),1):INDEX(ReportAssetWeightsBaseline,ROW()-ROW(O$95),NumberOfAssets),INT(INDEX(tblAssetMenuSpecs[Is Real Estate US],1):(INDEX(tblAssetMenuSpecs[Is Real Estate US],NumberOfAssets))))</f>
        <v>0</v>
      </c>
      <c r="U130" s="280">
        <f>MMULT(INDEX(ReportAssetWeightsBaseline,ROW()-ROW(P$95),1):INDEX(ReportAssetWeightsBaseline,ROW()-ROW(P$95),NumberOfAssets),INT(INDEX(tblAssetMenuSpecs[Is Real Estate Other Developed Markets],1):(INDEX(tblAssetMenuSpecs[Is Real Estate Other Developed Markets],NumberOfAssets))))</f>
        <v>0</v>
      </c>
      <c r="V130" s="280">
        <f>MMULT(INDEX(ReportAssetWeightsBaseline,ROW()-ROW(Q$95),1):INDEX(ReportAssetWeightsBaseline,ROW()-ROW(Q$95),NumberOfAssets),INT(INDEX(tblAssetMenuSpecs[Is Real Estate Commercial EU (non-leveraged)],1):(INDEX(tblAssetMenuSpecs[Is Real Estate Commercial EU (non-leveraged)],NumberOfAssets))))</f>
        <v>0</v>
      </c>
      <c r="W130" s="280">
        <f>MMULT(INDEX(ReportAssetWeightsBaseline,ROW()-ROW(P$95),1):INDEX(ReportAssetWeightsBaseline,ROW()-ROW(P$95),NumberOfAssets),INT(INDEX(tblAssetMenuSpecs[Is Real Estate Residential EU (non-leveraged)],1):(INDEX(tblAssetMenuSpecs[Is Real Estate Residential EU (non-leveraged)],NumberOfAssets))))</f>
        <v>0</v>
      </c>
      <c r="X130" s="280">
        <f>MMULT(INDEX(ReportAssetWeightsBaseline,ROW()-ROW(Q$95),1):INDEX(ReportAssetWeightsBaseline,ROW()-ROW(Q$95),NumberOfAssets),INT(INDEX(tblAssetMenuSpecs[Is Government Bond EU],1):(INDEX(tblAssetMenuSpecs[Is Government Bond EU],NumberOfAssets))))</f>
        <v>0</v>
      </c>
      <c r="Y130" s="280">
        <f>MMULT(INDEX(ReportAssetWeightsBaseline,ROW()-ROW(R$95),1):INDEX(ReportAssetWeightsBaseline,ROW()-ROW(R$95),NumberOfAssets),INT(INDEX(tblAssetMenuSpecs[Is Government Bond US],1):(INDEX(tblAssetMenuSpecs[Is Government Bond US],NumberOfAssets))))</f>
        <v>0</v>
      </c>
      <c r="Z130" s="280">
        <f>MMULT(INDEX(ReportAssetWeightsBaseline,ROW()-ROW(S$95),1):INDEX(ReportAssetWeightsBaseline,ROW()-ROW(S$95),NumberOfAssets),INT(INDEX(tblAssetMenuSpecs[Is Government Bond Other Developed Markets],1):(INDEX(tblAssetMenuSpecs[Is Government Bond Other Developed Markets],NumberOfAssets))))</f>
        <v>0</v>
      </c>
      <c r="AA130" s="280">
        <f>MMULT(INDEX(ReportAssetWeightsBaseline,ROW()-ROW(T$95),1):INDEX(ReportAssetWeightsBaseline,ROW()-ROW(T$95),NumberOfAssets),INT(INDEX(tblAssetMenuSpecs[Is Government Bond Emerging Markets],1):(INDEX(tblAssetMenuSpecs[Is Government Bond Emerging Markets],NumberOfAssets))))</f>
        <v>0</v>
      </c>
      <c r="AB130" s="280">
        <f>MMULT(INDEX(ReportAssetWeightsBaseline,ROW()-ROW(W$95),1):INDEX(ReportAssetWeightsBaseline,ROW()-ROW(W$95),NumberOfAssets),INT(INDEX(tblAssetMenuSpecs[Is Corporate Bond],1):(INDEX(tblAssetMenuSpecs[Is Corporate Bond],NumberOfAssets))))</f>
        <v>0</v>
      </c>
      <c r="AC130" s="280">
        <f>MMULT(INDEX(ReportAssetWeightsBaseline,ROW()-ROW(X$95),1):INDEX(ReportAssetWeightsBaseline,ROW()-ROW(X$95),NumberOfAssets),INT(INDEX(tblAssetMenuSpecs[Is Corporate Bond Non-Financial],1):(INDEX(tblAssetMenuSpecs[Is Corporate Bond Non-Financial],NumberOfAssets))))</f>
        <v>0</v>
      </c>
      <c r="AD130" s="280">
        <f>MMULT(INDEX(ReportAssetWeightsBaseline,ROW()-ROW(Y$95),1):INDEX(ReportAssetWeightsBaseline,ROW()-ROW(Y$95),NumberOfAssets),INT(INDEX(tblAssetMenuSpecs[Is Corporate Bond Financial],1):(INDEX(tblAssetMenuSpecs[Is Corporate Bond Financial],NumberOfAssets))))</f>
        <v>0</v>
      </c>
      <c r="AE130" s="280">
        <f>MMULT(INDEX(ReportAssetWeightsBaseline,ROW()-ROW(X$95),1):INDEX(ReportAssetWeightsBaseline,ROW()-ROW(X$95),NumberOfAssets),INT(INDEX(tblAssetMenuSpecs[Is Cash and Deposits],1):(INDEX(tblAssetMenuSpecs[Is Cash and Deposits],NumberOfAssets))))</f>
        <v>1</v>
      </c>
    </row>
    <row r="131" spans="6:31" x14ac:dyDescent="0.25">
      <c r="F131" s="278">
        <f t="shared" si="0"/>
        <v>0</v>
      </c>
      <c r="G131" s="279">
        <f>MMULT(INDEX(ReportAssetWeightsBaseline,ROW()-ROW(G$95),1):INDEX(ReportAssetWeightsBaseline,ROW()-ROW(G$95),NumberOfAssets),INT(INDEX(tblAssetMenuSpecs[IsEquities],1):(INDEX(tblAssetMenuSpecs[IsEquities],NumberOfAssets))))</f>
        <v>0</v>
      </c>
      <c r="H131" s="279">
        <f>MMULT(INDEX(ReportAssetWeightsBaseline,ROW()-ROW(H$95),1):INDEX(ReportAssetWeightsBaseline,ROW()-ROW(H$95),NumberOfAssets),INT(INDEX(tblAssetMenuSpecs[IsRealEstate],1):(INDEX(tblAssetMenuSpecs[IsRealEstate],NumberOfAssets))))</f>
        <v>0</v>
      </c>
      <c r="I131" s="279">
        <f>MMULT(INDEX(ReportAssetWeightsBaseline,ROW()-ROW(I$95),1):INDEX(ReportAssetWeightsBaseline,ROW()-ROW(I$95),NumberOfAssets),INT(INDEX(tblAssetMenuSpecs[IsAlternatives],1):(INDEX(tblAssetMenuSpecs[IsAlternatives],NumberOfAssets))))</f>
        <v>0</v>
      </c>
      <c r="J131" s="279">
        <f>MMULT(INDEX(ReportAssetWeightsBaseline,ROW()-ROW(J$95),1):INDEX(ReportAssetWeightsBaseline,ROW()-ROW(J$95),NumberOfAssets),INT(INDEX(tblAssetMenuSpecs[IsFixedIncome],1):(INDEX(tblAssetMenuSpecs[IsFixedIncome],NumberOfAssets))))</f>
        <v>1</v>
      </c>
      <c r="L131" s="280">
        <f>MMULT(INDEX(ReportAssetWeightsBaseline,ROW()-ROW(G$95),1):INDEX(ReportAssetWeightsBaseline,ROW()-ROW(G$95),NumberOfAssets),INT(INDEX(tblAssetMenuSpecs[Is Equities EU],1):(INDEX(tblAssetMenuSpecs[Is Equities EU],NumberOfAssets))))</f>
        <v>0</v>
      </c>
      <c r="M131" s="280">
        <f>MMULT(INDEX(ReportAssetWeightsBaseline,ROW()-ROW(H$95),1):INDEX(ReportAssetWeightsBaseline,ROW()-ROW(H$95),NumberOfAssets),INT(INDEX(tblAssetMenuSpecs[Is Equities US],1):(INDEX(tblAssetMenuSpecs[Is Equities US],NumberOfAssets))))</f>
        <v>0</v>
      </c>
      <c r="N131" s="280">
        <f>MMULT(INDEX(ReportAssetWeightsBaseline,ROW()-ROW(I$95),1):INDEX(ReportAssetWeightsBaseline,ROW()-ROW(I$95),NumberOfAssets),INT(INDEX(tblAssetMenuSpecs[Is Equities Other Developed Markets],1):(INDEX(tblAssetMenuSpecs[Is Equities Other Developed Markets],NumberOfAssets))))</f>
        <v>0</v>
      </c>
      <c r="O131" s="280">
        <f>MMULT(INDEX(ReportAssetWeightsBaseline,ROW()-ROW(J$95),1):INDEX(ReportAssetWeightsBaseline,ROW()-ROW(J$95),NumberOfAssets),INT(INDEX(tblAssetMenuSpecs[Is Equities Emerging Markets],1):(INDEX(tblAssetMenuSpecs[Is Equities Emerging Markets],NumberOfAssets))))</f>
        <v>0</v>
      </c>
      <c r="P131" s="280">
        <f>MMULT(INDEX(ReportAssetWeightsBaseline,ROW()-ROW(K$95),1):INDEX(ReportAssetWeightsBaseline,ROW()-ROW(K$95),NumberOfAssets),INT(INDEX(tblAssetMenuSpecs[Is Commodities],1):(INDEX(tblAssetMenuSpecs[Is Commodities],NumberOfAssets))))</f>
        <v>0</v>
      </c>
      <c r="Q131" s="280">
        <f>MMULT(INDEX(ReportAssetWeightsBaseline,ROW()-ROW(L$95),1):INDEX(ReportAssetWeightsBaseline,ROW()-ROW(L$95),NumberOfAssets),INT(INDEX(tblAssetMenuSpecs[Is Private Equity],1):(INDEX(tblAssetMenuSpecs[Is Private Equity],NumberOfAssets))))</f>
        <v>0</v>
      </c>
      <c r="R131" s="280">
        <f>MMULT(INDEX(ReportAssetWeightsBaseline,ROW()-ROW(M$95),1):INDEX(ReportAssetWeightsBaseline,ROW()-ROW(M$95),NumberOfAssets),INT(INDEX(tblAssetMenuSpecs[Is Hedge Funds],1):(INDEX(tblAssetMenuSpecs[Is Hedge Funds],NumberOfAssets))))</f>
        <v>0</v>
      </c>
      <c r="S131" s="280">
        <f>MMULT(INDEX(ReportAssetWeightsBaseline,ROW()-ROW(N$95),1):INDEX(ReportAssetWeightsBaseline,ROW()-ROW(N$95),NumberOfAssets),INT(INDEX(tblAssetMenuSpecs[Is Real Estate EU],1):(INDEX(tblAssetMenuSpecs[Is Real Estate EU],NumberOfAssets))))</f>
        <v>0</v>
      </c>
      <c r="T131" s="280">
        <f>MMULT(INDEX(ReportAssetWeightsBaseline,ROW()-ROW(O$95),1):INDEX(ReportAssetWeightsBaseline,ROW()-ROW(O$95),NumberOfAssets),INT(INDEX(tblAssetMenuSpecs[Is Real Estate US],1):(INDEX(tblAssetMenuSpecs[Is Real Estate US],NumberOfAssets))))</f>
        <v>0</v>
      </c>
      <c r="U131" s="280">
        <f>MMULT(INDEX(ReportAssetWeightsBaseline,ROW()-ROW(P$95),1):INDEX(ReportAssetWeightsBaseline,ROW()-ROW(P$95),NumberOfAssets),INT(INDEX(tblAssetMenuSpecs[Is Real Estate Other Developed Markets],1):(INDEX(tblAssetMenuSpecs[Is Real Estate Other Developed Markets],NumberOfAssets))))</f>
        <v>0</v>
      </c>
      <c r="V131" s="280">
        <f>MMULT(INDEX(ReportAssetWeightsBaseline,ROW()-ROW(Q$95),1):INDEX(ReportAssetWeightsBaseline,ROW()-ROW(Q$95),NumberOfAssets),INT(INDEX(tblAssetMenuSpecs[Is Real Estate Commercial EU (non-leveraged)],1):(INDEX(tblAssetMenuSpecs[Is Real Estate Commercial EU (non-leveraged)],NumberOfAssets))))</f>
        <v>0</v>
      </c>
      <c r="W131" s="280">
        <f>MMULT(INDEX(ReportAssetWeightsBaseline,ROW()-ROW(P$95),1):INDEX(ReportAssetWeightsBaseline,ROW()-ROW(P$95),NumberOfAssets),INT(INDEX(tblAssetMenuSpecs[Is Real Estate Residential EU (non-leveraged)],1):(INDEX(tblAssetMenuSpecs[Is Real Estate Residential EU (non-leveraged)],NumberOfAssets))))</f>
        <v>0</v>
      </c>
      <c r="X131" s="280">
        <f>MMULT(INDEX(ReportAssetWeightsBaseline,ROW()-ROW(Q$95),1):INDEX(ReportAssetWeightsBaseline,ROW()-ROW(Q$95),NumberOfAssets),INT(INDEX(tblAssetMenuSpecs[Is Government Bond EU],1):(INDEX(tblAssetMenuSpecs[Is Government Bond EU],NumberOfAssets))))</f>
        <v>0</v>
      </c>
      <c r="Y131" s="280">
        <f>MMULT(INDEX(ReportAssetWeightsBaseline,ROW()-ROW(R$95),1):INDEX(ReportAssetWeightsBaseline,ROW()-ROW(R$95),NumberOfAssets),INT(INDEX(tblAssetMenuSpecs[Is Government Bond US],1):(INDEX(tblAssetMenuSpecs[Is Government Bond US],NumberOfAssets))))</f>
        <v>0</v>
      </c>
      <c r="Z131" s="280">
        <f>MMULT(INDEX(ReportAssetWeightsBaseline,ROW()-ROW(S$95),1):INDEX(ReportAssetWeightsBaseline,ROW()-ROW(S$95),NumberOfAssets),INT(INDEX(tblAssetMenuSpecs[Is Government Bond Other Developed Markets],1):(INDEX(tblAssetMenuSpecs[Is Government Bond Other Developed Markets],NumberOfAssets))))</f>
        <v>0</v>
      </c>
      <c r="AA131" s="280">
        <f>MMULT(INDEX(ReportAssetWeightsBaseline,ROW()-ROW(T$95),1):INDEX(ReportAssetWeightsBaseline,ROW()-ROW(T$95),NumberOfAssets),INT(INDEX(tblAssetMenuSpecs[Is Government Bond Emerging Markets],1):(INDEX(tblAssetMenuSpecs[Is Government Bond Emerging Markets],NumberOfAssets))))</f>
        <v>0</v>
      </c>
      <c r="AB131" s="280">
        <f>MMULT(INDEX(ReportAssetWeightsBaseline,ROW()-ROW(W$95),1):INDEX(ReportAssetWeightsBaseline,ROW()-ROW(W$95),NumberOfAssets),INT(INDEX(tblAssetMenuSpecs[Is Corporate Bond],1):(INDEX(tblAssetMenuSpecs[Is Corporate Bond],NumberOfAssets))))</f>
        <v>0</v>
      </c>
      <c r="AC131" s="280">
        <f>MMULT(INDEX(ReportAssetWeightsBaseline,ROW()-ROW(X$95),1):INDEX(ReportAssetWeightsBaseline,ROW()-ROW(X$95),NumberOfAssets),INT(INDEX(tblAssetMenuSpecs[Is Corporate Bond Non-Financial],1):(INDEX(tblAssetMenuSpecs[Is Corporate Bond Non-Financial],NumberOfAssets))))</f>
        <v>0</v>
      </c>
      <c r="AD131" s="280">
        <f>MMULT(INDEX(ReportAssetWeightsBaseline,ROW()-ROW(Y$95),1):INDEX(ReportAssetWeightsBaseline,ROW()-ROW(Y$95),NumberOfAssets),INT(INDEX(tblAssetMenuSpecs[Is Corporate Bond Financial],1):(INDEX(tblAssetMenuSpecs[Is Corporate Bond Financial],NumberOfAssets))))</f>
        <v>0</v>
      </c>
      <c r="AE131" s="280">
        <f>MMULT(INDEX(ReportAssetWeightsBaseline,ROW()-ROW(X$95),1):INDEX(ReportAssetWeightsBaseline,ROW()-ROW(X$95),NumberOfAssets),INT(INDEX(tblAssetMenuSpecs[Is Cash and Deposits],1):(INDEX(tblAssetMenuSpecs[Is Cash and Deposits],NumberOfAssets))))</f>
        <v>1</v>
      </c>
    </row>
    <row r="133" spans="6:31" ht="18.75" x14ac:dyDescent="0.3">
      <c r="F133" s="275" t="s">
        <v>544</v>
      </c>
      <c r="G133" s="275"/>
      <c r="H133" s="275"/>
      <c r="I133" s="275"/>
      <c r="J133" s="275"/>
      <c r="L133" s="276" t="s">
        <v>544</v>
      </c>
      <c r="M133" s="236"/>
      <c r="N133" s="236"/>
      <c r="O133" s="236"/>
      <c r="P133" s="236"/>
      <c r="Q133" s="236"/>
      <c r="R133" s="236"/>
      <c r="S133" s="236"/>
      <c r="T133" s="236"/>
      <c r="U133" s="236"/>
      <c r="V133" s="236"/>
      <c r="W133" s="236"/>
      <c r="X133" s="236"/>
      <c r="Y133" s="236"/>
      <c r="Z133" s="236"/>
      <c r="AA133" s="236"/>
      <c r="AB133" s="236"/>
      <c r="AC133" s="236"/>
      <c r="AD133" s="236"/>
      <c r="AE133" s="236"/>
    </row>
    <row r="134" spans="6:31" ht="18.75" x14ac:dyDescent="0.3">
      <c r="F134" s="275" t="s">
        <v>447</v>
      </c>
      <c r="G134" s="275"/>
      <c r="H134" s="275"/>
      <c r="I134" s="275"/>
      <c r="J134" s="275"/>
      <c r="L134" s="276" t="s">
        <v>448</v>
      </c>
      <c r="M134" s="236"/>
      <c r="N134" s="236"/>
      <c r="O134" s="236"/>
      <c r="P134" s="236"/>
      <c r="Q134" s="236"/>
      <c r="R134" s="236"/>
      <c r="S134" s="236"/>
      <c r="T134" s="236"/>
      <c r="U134" s="236"/>
      <c r="V134" s="236"/>
      <c r="W134" s="236"/>
      <c r="X134" s="236"/>
      <c r="Y134" s="236"/>
      <c r="Z134" s="236"/>
      <c r="AA134" s="236"/>
      <c r="AB134" s="236"/>
      <c r="AC134" s="236"/>
      <c r="AD134" s="236"/>
      <c r="AE134" s="236"/>
    </row>
    <row r="135" spans="6:31" ht="48.75" x14ac:dyDescent="0.25">
      <c r="F135" s="236" t="s">
        <v>346</v>
      </c>
      <c r="G135" s="252" t="s">
        <v>44</v>
      </c>
      <c r="H135" s="277" t="s">
        <v>265</v>
      </c>
      <c r="I135" s="277" t="s">
        <v>264</v>
      </c>
      <c r="J135" s="277" t="s">
        <v>45</v>
      </c>
      <c r="L135" s="334" t="s">
        <v>541</v>
      </c>
      <c r="M135" s="334" t="s">
        <v>257</v>
      </c>
      <c r="N135" s="334" t="s">
        <v>652</v>
      </c>
      <c r="O135" s="334" t="s">
        <v>262</v>
      </c>
      <c r="P135" s="334" t="s">
        <v>258</v>
      </c>
      <c r="Q135" s="334" t="s">
        <v>259</v>
      </c>
      <c r="R135" s="334" t="s">
        <v>260</v>
      </c>
      <c r="S135" s="334" t="s">
        <v>373</v>
      </c>
      <c r="T135" s="334" t="s">
        <v>650</v>
      </c>
      <c r="U135" s="334" t="s">
        <v>653</v>
      </c>
      <c r="V135" s="334" t="s">
        <v>533</v>
      </c>
      <c r="W135" s="334" t="s">
        <v>534</v>
      </c>
      <c r="X135" s="334" t="s">
        <v>691</v>
      </c>
      <c r="Y135" s="334" t="s">
        <v>692</v>
      </c>
      <c r="Z135" s="334" t="s">
        <v>693</v>
      </c>
      <c r="AA135" s="334" t="s">
        <v>694</v>
      </c>
      <c r="AB135" s="334" t="s">
        <v>695</v>
      </c>
      <c r="AC135" s="334" t="s">
        <v>696</v>
      </c>
      <c r="AD135" s="334" t="s">
        <v>697</v>
      </c>
      <c r="AE135" s="334" t="s">
        <v>266</v>
      </c>
    </row>
    <row r="136" spans="6:31" x14ac:dyDescent="0.25">
      <c r="F136" s="278">
        <f t="shared" ref="F136:F171" si="1">INDEX(ReportYTR,ROW()-ROW(F$135))</f>
        <v>35</v>
      </c>
      <c r="G136" s="279">
        <f>MMULT(INDEX(ReportAssetWeightsAdverse,ROW()-ROW(G$135),1):INDEX(ReportAssetWeightsAdverse,ROW()-ROW(G$135),NumberOfAssets),INT(INDEX(tblAssetMenuSpecs[IsEquities],1):(INDEX(tblAssetMenuSpecs[IsEquities],NumberOfAssets))))</f>
        <v>0</v>
      </c>
      <c r="H136" s="279">
        <f>MMULT(INDEX(ReportAssetWeightsAdverse,ROW()-ROW(H$135),1):INDEX(ReportAssetWeightsAdverse,ROW()-ROW(H$135),NumberOfAssets),INT(INDEX(tblAssetMenuSpecs[IsRealEstate],1):(INDEX(tblAssetMenuSpecs[IsRealEstate],NumberOfAssets))))</f>
        <v>0</v>
      </c>
      <c r="I136" s="279">
        <f>MMULT(INDEX(ReportAssetWeightsAdverse,ROW()-ROW(I$135),1):INDEX(ReportAssetWeightsAdverse,ROW()-ROW(I$135),NumberOfAssets),INT(INDEX(tblAssetMenuSpecs[IsAlternatives],1):(INDEX(tblAssetMenuSpecs[IsAlternatives],NumberOfAssets))))</f>
        <v>0</v>
      </c>
      <c r="J136" s="279">
        <f>MMULT(INDEX(ReportAssetWeightsAdverse,ROW()-ROW(J$135),1):INDEX(ReportAssetWeightsAdverse,ROW()-ROW(J$135),NumberOfAssets),INT(INDEX(tblAssetMenuSpecs[IsFixedIncome],1):(INDEX(tblAssetMenuSpecs[IsFixedIncome],NumberOfAssets))))</f>
        <v>1</v>
      </c>
      <c r="L136" s="280">
        <f>MMULT(INDEX(ReportAssetWeightsAdverse,ROW()-ROW(L$135),1):INDEX(ReportAssetWeightsAdverse,ROW()-ROW(L$135),NumberOfAssets),INT(INDEX(tblAssetMenuSpecs[Is Equities EU],1):(INDEX(tblAssetMenuSpecs[Is Equities EU],NumberOfAssets))))</f>
        <v>0</v>
      </c>
      <c r="M136" s="280">
        <f>MMULT(INDEX(ReportAssetWeightsAdverse,ROW()-ROW(M$135),1):INDEX(ReportAssetWeightsAdverse,ROW()-ROW(M$135),NumberOfAssets),INT(INDEX(tblAssetMenuSpecs[Is Equities US],1):(INDEX(tblAssetMenuSpecs[Is Equities US],NumberOfAssets))))</f>
        <v>0</v>
      </c>
      <c r="N136" s="280">
        <f>MMULT(INDEX(ReportAssetWeightsAdverse,ROW()-ROW(N$135),1):INDEX(ReportAssetWeightsAdverse,ROW()-ROW(N$135),NumberOfAssets),INT(INDEX(tblAssetMenuSpecs[Is Equities Other Developed Markets],1):(INDEX(tblAssetMenuSpecs[Is Equities Other Developed Markets],NumberOfAssets))))</f>
        <v>0</v>
      </c>
      <c r="O136" s="280">
        <f>MMULT(INDEX(ReportAssetWeightsAdverse,ROW()-ROW(O$135),1):INDEX(ReportAssetWeightsAdverse,ROW()-ROW(O$135),NumberOfAssets),INT(INDEX(tblAssetMenuSpecs[Is Equities Emerging Markets],1):(INDEX(tblAssetMenuSpecs[Is Equities Emerging Markets],NumberOfAssets))))</f>
        <v>0</v>
      </c>
      <c r="P136" s="280">
        <f>MMULT(INDEX(ReportAssetWeightsAdverse,ROW()-ROW(P$135),1):INDEX(ReportAssetWeightsAdverse,ROW()-ROW(P$135),NumberOfAssets),INT(INDEX(tblAssetMenuSpecs[Is Commodities],1):(INDEX(tblAssetMenuSpecs[Is Commodities],NumberOfAssets))))</f>
        <v>0</v>
      </c>
      <c r="Q136" s="280">
        <f>MMULT(INDEX(ReportAssetWeightsAdverse,ROW()-ROW(Q$135),1):INDEX(ReportAssetWeightsAdverse,ROW()-ROW(Q$135),NumberOfAssets),INT(INDEX(tblAssetMenuSpecs[Is Private Equity],1):(INDEX(tblAssetMenuSpecs[Is Private Equity],NumberOfAssets))))</f>
        <v>0</v>
      </c>
      <c r="R136" s="280">
        <f>MMULT(INDEX(ReportAssetWeightsAdverse,ROW()-ROW(R$135),1):INDEX(ReportAssetWeightsAdverse,ROW()-ROW(R$135),NumberOfAssets),INT(INDEX(tblAssetMenuSpecs[Is Hedge Funds],1):(INDEX(tblAssetMenuSpecs[Is Hedge Funds],NumberOfAssets))))</f>
        <v>0</v>
      </c>
      <c r="S136" s="280">
        <f>MMULT(INDEX(ReportAssetWeightsAdverse,ROW()-ROW(S$135),1):INDEX(ReportAssetWeightsAdverse,ROW()-ROW(S$135),NumberOfAssets),INT(INDEX(tblAssetMenuSpecs[Is Real Estate EU],1):(INDEX(tblAssetMenuSpecs[Is Real Estate EU],NumberOfAssets))))</f>
        <v>0</v>
      </c>
      <c r="T136" s="280">
        <f>MMULT(INDEX(ReportAssetWeightsAdverse,ROW()-ROW(T$135),1):INDEX(ReportAssetWeightsAdverse,ROW()-ROW(T$135),NumberOfAssets),INT(INDEX(tblAssetMenuSpecs[Is Real Estate US],1):(INDEX(tblAssetMenuSpecs[Is Real Estate US],NumberOfAssets))))</f>
        <v>0</v>
      </c>
      <c r="U136" s="280">
        <f>MMULT(INDEX(ReportAssetWeightsAdverse,ROW()-ROW(U$135),1):INDEX(ReportAssetWeightsAdverse,ROW()-ROW(U$135),NumberOfAssets),INT(INDEX(tblAssetMenuSpecs[Is Real Estate Other Developed Markets],1):(INDEX(tblAssetMenuSpecs[Is Real Estate Other Developed Markets],NumberOfAssets))))</f>
        <v>0</v>
      </c>
      <c r="V136" s="280">
        <f>MMULT(INDEX(ReportAssetWeightsAdverse,ROW()-ROW(V$135),1):INDEX(ReportAssetWeightsAdverse,ROW()-ROW(V$135),NumberOfAssets),INT(INDEX(tblAssetMenuSpecs[Is Real Estate Commercial EU (non-leveraged)],1):(INDEX(tblAssetMenuSpecs[Is Real Estate Commercial EU (non-leveraged)],NumberOfAssets))))</f>
        <v>0</v>
      </c>
      <c r="W136" s="280">
        <f>MMULT(INDEX(ReportAssetWeightsAdverse,ROW()-ROW(W$135),1):INDEX(ReportAssetWeightsAdverse,ROW()-ROW(W$135),NumberOfAssets),INT(INDEX(tblAssetMenuSpecs[Is Real Estate Residential EU (non-leveraged)],1):(INDEX(tblAssetMenuSpecs[Is Real Estate Residential EU (non-leveraged)],NumberOfAssets))))</f>
        <v>0</v>
      </c>
      <c r="X136" s="280">
        <f>MMULT(INDEX(ReportAssetWeightsAdverse,ROW()-ROW(X$135),1):INDEX(ReportAssetWeightsAdverse,ROW()-ROW(X$135),NumberOfAssets),INT(INDEX(tblAssetMenuSpecs[Is Government Bond EU],1):(INDEX(tblAssetMenuSpecs[Is Government Bond EU],NumberOfAssets))))</f>
        <v>0</v>
      </c>
      <c r="Y136" s="280">
        <f>MMULT(INDEX(ReportAssetWeightsAdverse,ROW()-ROW(Y$135),1):INDEX(ReportAssetWeightsAdverse,ROW()-ROW(Y$135),NumberOfAssets),INT(INDEX(tblAssetMenuSpecs[Is Government Bond US],1):(INDEX(tblAssetMenuSpecs[Is Government Bond US],NumberOfAssets))))</f>
        <v>0</v>
      </c>
      <c r="Z136" s="280">
        <f>MMULT(INDEX(ReportAssetWeightsAdverse,ROW()-ROW(Z$135),1):INDEX(ReportAssetWeightsAdverse,ROW()-ROW(Z$135),NumberOfAssets),INT(INDEX(tblAssetMenuSpecs[Is Government Bond Other Developed Markets],1):(INDEX(tblAssetMenuSpecs[Is Government Bond Other Developed Markets],NumberOfAssets))))</f>
        <v>0</v>
      </c>
      <c r="AA136" s="280">
        <f>MMULT(INDEX(ReportAssetWeightsAdverse,ROW()-ROW(AA$135),1):INDEX(ReportAssetWeightsAdverse,ROW()-ROW(AA$135),NumberOfAssets),INT(INDEX(tblAssetMenuSpecs[Is Government Bond Emerging Markets],1):(INDEX(tblAssetMenuSpecs[Is Government Bond Emerging Markets],NumberOfAssets))))</f>
        <v>0</v>
      </c>
      <c r="AB136" s="280">
        <f>MMULT(INDEX(ReportAssetWeightsAdverse,ROW()-ROW(AB$135),1):INDEX(ReportAssetWeightsAdverse,ROW()-ROW(AB$135),NumberOfAssets),INT(INDEX(tblAssetMenuSpecs[Is Corporate Bond],1):(INDEX(tblAssetMenuSpecs[Is Corporate Bond],NumberOfAssets))))</f>
        <v>0</v>
      </c>
      <c r="AC136" s="280">
        <f>MMULT(INDEX(ReportAssetWeightsAdverse,ROW()-ROW(AC$135),1):INDEX(ReportAssetWeightsAdverse,ROW()-ROW(AC$135),NumberOfAssets),INT(INDEX(tblAssetMenuSpecs[Is Corporate Bond Non-Financial],1):(INDEX(tblAssetMenuSpecs[Is Corporate Bond Non-Financial],NumberOfAssets))))</f>
        <v>0</v>
      </c>
      <c r="AD136" s="280">
        <f>MMULT(INDEX(ReportAssetWeightsAdverse,ROW()-ROW(AD$135),1):INDEX(ReportAssetWeightsAdverse,ROW()-ROW(AD$135),NumberOfAssets),INT(INDEX(tblAssetMenuSpecs[Is Corporate Bond Financial],1):(INDEX(tblAssetMenuSpecs[Is Corporate Bond Financial],NumberOfAssets))))</f>
        <v>0</v>
      </c>
      <c r="AE136" s="280">
        <f>MMULT(INDEX(ReportAssetWeightsAdverse,ROW()-ROW(AE$135),1):INDEX(ReportAssetWeightsAdverse,ROW()-ROW(AE$135),NumberOfAssets),INT(INDEX(tblAssetMenuSpecs[Is Cash and Deposits],1):(INDEX(tblAssetMenuSpecs[Is Cash and Deposits],NumberOfAssets))))</f>
        <v>1</v>
      </c>
    </row>
    <row r="137" spans="6:31" x14ac:dyDescent="0.25">
      <c r="F137" s="278">
        <f t="shared" si="1"/>
        <v>34</v>
      </c>
      <c r="G137" s="279">
        <f>MMULT(INDEX(ReportAssetWeightsAdverse,ROW()-ROW(G$135),1):INDEX(ReportAssetWeightsAdverse,ROW()-ROW(G$135),NumberOfAssets),INT(INDEX(tblAssetMenuSpecs[IsEquities],1):(INDEX(tblAssetMenuSpecs[IsEquities],NumberOfAssets))))</f>
        <v>0</v>
      </c>
      <c r="H137" s="279">
        <f>MMULT(INDEX(ReportAssetWeightsAdverse,ROW()-ROW(H$135),1):INDEX(ReportAssetWeightsAdverse,ROW()-ROW(H$135),NumberOfAssets),INT(INDEX(tblAssetMenuSpecs[IsRealEstate],1):(INDEX(tblAssetMenuSpecs[IsRealEstate],NumberOfAssets))))</f>
        <v>0</v>
      </c>
      <c r="I137" s="279">
        <f>MMULT(INDEX(ReportAssetWeightsAdverse,ROW()-ROW(I$135),1):INDEX(ReportAssetWeightsAdverse,ROW()-ROW(I$135),NumberOfAssets),INT(INDEX(tblAssetMenuSpecs[IsAlternatives],1):(INDEX(tblAssetMenuSpecs[IsAlternatives],NumberOfAssets))))</f>
        <v>0</v>
      </c>
      <c r="J137" s="279">
        <f>MMULT(INDEX(ReportAssetWeightsAdverse,ROW()-ROW(J$135),1):INDEX(ReportAssetWeightsAdverse,ROW()-ROW(J$135),NumberOfAssets),INT(INDEX(tblAssetMenuSpecs[IsFixedIncome],1):(INDEX(tblAssetMenuSpecs[IsFixedIncome],NumberOfAssets))))</f>
        <v>1</v>
      </c>
      <c r="L137" s="280">
        <f>MMULT(INDEX(ReportAssetWeightsAdverse,ROW()-ROW(L$135),1):INDEX(ReportAssetWeightsAdverse,ROW()-ROW(L$135),NumberOfAssets),INT(INDEX(tblAssetMenuSpecs[Is Equities EU],1):(INDEX(tblAssetMenuSpecs[Is Equities EU],NumberOfAssets))))</f>
        <v>0</v>
      </c>
      <c r="M137" s="280">
        <f>MMULT(INDEX(ReportAssetWeightsAdverse,ROW()-ROW(M$135),1):INDEX(ReportAssetWeightsAdverse,ROW()-ROW(M$135),NumberOfAssets),INT(INDEX(tblAssetMenuSpecs[Is Equities US],1):(INDEX(tblAssetMenuSpecs[Is Equities US],NumberOfAssets))))</f>
        <v>0</v>
      </c>
      <c r="N137" s="280">
        <f>MMULT(INDEX(ReportAssetWeightsAdverse,ROW()-ROW(N$135),1):INDEX(ReportAssetWeightsAdverse,ROW()-ROW(N$135),NumberOfAssets),INT(INDEX(tblAssetMenuSpecs[Is Equities Other Developed Markets],1):(INDEX(tblAssetMenuSpecs[Is Equities Other Developed Markets],NumberOfAssets))))</f>
        <v>0</v>
      </c>
      <c r="O137" s="280">
        <f>MMULT(INDEX(ReportAssetWeightsAdverse,ROW()-ROW(O$135),1):INDEX(ReportAssetWeightsAdverse,ROW()-ROW(O$135),NumberOfAssets),INT(INDEX(tblAssetMenuSpecs[Is Equities Emerging Markets],1):(INDEX(tblAssetMenuSpecs[Is Equities Emerging Markets],NumberOfAssets))))</f>
        <v>0</v>
      </c>
      <c r="P137" s="280">
        <f>MMULT(INDEX(ReportAssetWeightsAdverse,ROW()-ROW(P$135),1):INDEX(ReportAssetWeightsAdverse,ROW()-ROW(P$135),NumberOfAssets),INT(INDEX(tblAssetMenuSpecs[Is Commodities],1):(INDEX(tblAssetMenuSpecs[Is Commodities],NumberOfAssets))))</f>
        <v>0</v>
      </c>
      <c r="Q137" s="280">
        <f>MMULT(INDEX(ReportAssetWeightsAdverse,ROW()-ROW(Q$135),1):INDEX(ReportAssetWeightsAdverse,ROW()-ROW(Q$135),NumberOfAssets),INT(INDEX(tblAssetMenuSpecs[Is Private Equity],1):(INDEX(tblAssetMenuSpecs[Is Private Equity],NumberOfAssets))))</f>
        <v>0</v>
      </c>
      <c r="R137" s="280">
        <f>MMULT(INDEX(ReportAssetWeightsAdverse,ROW()-ROW(R$135),1):INDEX(ReportAssetWeightsAdverse,ROW()-ROW(R$135),NumberOfAssets),INT(INDEX(tblAssetMenuSpecs[Is Hedge Funds],1):(INDEX(tblAssetMenuSpecs[Is Hedge Funds],NumberOfAssets))))</f>
        <v>0</v>
      </c>
      <c r="S137" s="280">
        <f>MMULT(INDEX(ReportAssetWeightsAdverse,ROW()-ROW(S$135),1):INDEX(ReportAssetWeightsAdverse,ROW()-ROW(S$135),NumberOfAssets),INT(INDEX(tblAssetMenuSpecs[Is Real Estate EU],1):(INDEX(tblAssetMenuSpecs[Is Real Estate EU],NumberOfAssets))))</f>
        <v>0</v>
      </c>
      <c r="T137" s="280">
        <f>MMULT(INDEX(ReportAssetWeightsAdverse,ROW()-ROW(T$135),1):INDEX(ReportAssetWeightsAdverse,ROW()-ROW(T$135),NumberOfAssets),INT(INDEX(tblAssetMenuSpecs[Is Real Estate US],1):(INDEX(tblAssetMenuSpecs[Is Real Estate US],NumberOfAssets))))</f>
        <v>0</v>
      </c>
      <c r="U137" s="280">
        <f>MMULT(INDEX(ReportAssetWeightsAdverse,ROW()-ROW(U$135),1):INDEX(ReportAssetWeightsAdverse,ROW()-ROW(U$135),NumberOfAssets),INT(INDEX(tblAssetMenuSpecs[Is Real Estate Other Developed Markets],1):(INDEX(tblAssetMenuSpecs[Is Real Estate Other Developed Markets],NumberOfAssets))))</f>
        <v>0</v>
      </c>
      <c r="V137" s="280">
        <f>MMULT(INDEX(ReportAssetWeightsAdverse,ROW()-ROW(V$135),1):INDEX(ReportAssetWeightsAdverse,ROW()-ROW(V$135),NumberOfAssets),INT(INDEX(tblAssetMenuSpecs[Is Real Estate Commercial EU (non-leveraged)],1):(INDEX(tblAssetMenuSpecs[Is Real Estate Commercial EU (non-leveraged)],NumberOfAssets))))</f>
        <v>0</v>
      </c>
      <c r="W137" s="280">
        <f>MMULT(INDEX(ReportAssetWeightsAdverse,ROW()-ROW(W$135),1):INDEX(ReportAssetWeightsAdverse,ROW()-ROW(W$135),NumberOfAssets),INT(INDEX(tblAssetMenuSpecs[Is Real Estate Residential EU (non-leveraged)],1):(INDEX(tblAssetMenuSpecs[Is Real Estate Residential EU (non-leveraged)],NumberOfAssets))))</f>
        <v>0</v>
      </c>
      <c r="X137" s="280">
        <f>MMULT(INDEX(ReportAssetWeightsAdverse,ROW()-ROW(X$135),1):INDEX(ReportAssetWeightsAdverse,ROW()-ROW(X$135),NumberOfAssets),INT(INDEX(tblAssetMenuSpecs[Is Government Bond EU],1):(INDEX(tblAssetMenuSpecs[Is Government Bond EU],NumberOfAssets))))</f>
        <v>0</v>
      </c>
      <c r="Y137" s="280">
        <f>MMULT(INDEX(ReportAssetWeightsAdverse,ROW()-ROW(Y$135),1):INDEX(ReportAssetWeightsAdverse,ROW()-ROW(Y$135),NumberOfAssets),INT(INDEX(tblAssetMenuSpecs[Is Government Bond US],1):(INDEX(tblAssetMenuSpecs[Is Government Bond US],NumberOfAssets))))</f>
        <v>0</v>
      </c>
      <c r="Z137" s="280">
        <f>MMULT(INDEX(ReportAssetWeightsAdverse,ROW()-ROW(Z$135),1):INDEX(ReportAssetWeightsAdverse,ROW()-ROW(Z$135),NumberOfAssets),INT(INDEX(tblAssetMenuSpecs[Is Government Bond Other Developed Markets],1):(INDEX(tblAssetMenuSpecs[Is Government Bond Other Developed Markets],NumberOfAssets))))</f>
        <v>0</v>
      </c>
      <c r="AA137" s="280">
        <f>MMULT(INDEX(ReportAssetWeightsAdverse,ROW()-ROW(AA$135),1):INDEX(ReportAssetWeightsAdverse,ROW()-ROW(AA$135),NumberOfAssets),INT(INDEX(tblAssetMenuSpecs[Is Government Bond Emerging Markets],1):(INDEX(tblAssetMenuSpecs[Is Government Bond Emerging Markets],NumberOfAssets))))</f>
        <v>0</v>
      </c>
      <c r="AB137" s="280">
        <f>MMULT(INDEX(ReportAssetWeightsAdverse,ROW()-ROW(AB$135),1):INDEX(ReportAssetWeightsAdverse,ROW()-ROW(AB$135),NumberOfAssets),INT(INDEX(tblAssetMenuSpecs[Is Corporate Bond],1):(INDEX(tblAssetMenuSpecs[Is Corporate Bond],NumberOfAssets))))</f>
        <v>0</v>
      </c>
      <c r="AC137" s="280">
        <f>MMULT(INDEX(ReportAssetWeightsAdverse,ROW()-ROW(AC$135),1):INDEX(ReportAssetWeightsAdverse,ROW()-ROW(AC$135),NumberOfAssets),INT(INDEX(tblAssetMenuSpecs[Is Corporate Bond Non-Financial],1):(INDEX(tblAssetMenuSpecs[Is Corporate Bond Non-Financial],NumberOfAssets))))</f>
        <v>0</v>
      </c>
      <c r="AD137" s="280">
        <f>MMULT(INDEX(ReportAssetWeightsAdverse,ROW()-ROW(AD$135),1):INDEX(ReportAssetWeightsAdverse,ROW()-ROW(AD$135),NumberOfAssets),INT(INDEX(tblAssetMenuSpecs[Is Corporate Bond Financial],1):(INDEX(tblAssetMenuSpecs[Is Corporate Bond Financial],NumberOfAssets))))</f>
        <v>0</v>
      </c>
      <c r="AE137" s="280">
        <f>MMULT(INDEX(ReportAssetWeightsAdverse,ROW()-ROW(AE$135),1):INDEX(ReportAssetWeightsAdverse,ROW()-ROW(AE$135),NumberOfAssets),INT(INDEX(tblAssetMenuSpecs[Is Cash and Deposits],1):(INDEX(tblAssetMenuSpecs[Is Cash and Deposits],NumberOfAssets))))</f>
        <v>1</v>
      </c>
    </row>
    <row r="138" spans="6:31" x14ac:dyDescent="0.25">
      <c r="F138" s="278">
        <f t="shared" si="1"/>
        <v>33</v>
      </c>
      <c r="G138" s="279">
        <f>MMULT(INDEX(ReportAssetWeightsAdverse,ROW()-ROW(G$135),1):INDEX(ReportAssetWeightsAdverse,ROW()-ROW(G$135),NumberOfAssets),INT(INDEX(tblAssetMenuSpecs[IsEquities],1):(INDEX(tblAssetMenuSpecs[IsEquities],NumberOfAssets))))</f>
        <v>0</v>
      </c>
      <c r="H138" s="279">
        <f>MMULT(INDEX(ReportAssetWeightsAdverse,ROW()-ROW(H$135),1):INDEX(ReportAssetWeightsAdverse,ROW()-ROW(H$135),NumberOfAssets),INT(INDEX(tblAssetMenuSpecs[IsRealEstate],1):(INDEX(tblAssetMenuSpecs[IsRealEstate],NumberOfAssets))))</f>
        <v>0</v>
      </c>
      <c r="I138" s="279">
        <f>MMULT(INDEX(ReportAssetWeightsAdverse,ROW()-ROW(I$135),1):INDEX(ReportAssetWeightsAdverse,ROW()-ROW(I$135),NumberOfAssets),INT(INDEX(tblAssetMenuSpecs[IsAlternatives],1):(INDEX(tblAssetMenuSpecs[IsAlternatives],NumberOfAssets))))</f>
        <v>0</v>
      </c>
      <c r="J138" s="279">
        <f>MMULT(INDEX(ReportAssetWeightsAdverse,ROW()-ROW(J$135),1):INDEX(ReportAssetWeightsAdverse,ROW()-ROW(J$135),NumberOfAssets),INT(INDEX(tblAssetMenuSpecs[IsFixedIncome],1):(INDEX(tblAssetMenuSpecs[IsFixedIncome],NumberOfAssets))))</f>
        <v>1</v>
      </c>
      <c r="L138" s="280">
        <f>MMULT(INDEX(ReportAssetWeightsAdverse,ROW()-ROW(L$135),1):INDEX(ReportAssetWeightsAdverse,ROW()-ROW(L$135),NumberOfAssets),INT(INDEX(tblAssetMenuSpecs[Is Equities EU],1):(INDEX(tblAssetMenuSpecs[Is Equities EU],NumberOfAssets))))</f>
        <v>0</v>
      </c>
      <c r="M138" s="280">
        <f>MMULT(INDEX(ReportAssetWeightsAdverse,ROW()-ROW(M$135),1):INDEX(ReportAssetWeightsAdverse,ROW()-ROW(M$135),NumberOfAssets),INT(INDEX(tblAssetMenuSpecs[Is Equities US],1):(INDEX(tblAssetMenuSpecs[Is Equities US],NumberOfAssets))))</f>
        <v>0</v>
      </c>
      <c r="N138" s="280">
        <f>MMULT(INDEX(ReportAssetWeightsAdverse,ROW()-ROW(N$135),1):INDEX(ReportAssetWeightsAdverse,ROW()-ROW(N$135),NumberOfAssets),INT(INDEX(tblAssetMenuSpecs[Is Equities Other Developed Markets],1):(INDEX(tblAssetMenuSpecs[Is Equities Other Developed Markets],NumberOfAssets))))</f>
        <v>0</v>
      </c>
      <c r="O138" s="280">
        <f>MMULT(INDEX(ReportAssetWeightsAdverse,ROW()-ROW(O$135),1):INDEX(ReportAssetWeightsAdverse,ROW()-ROW(O$135),NumberOfAssets),INT(INDEX(tblAssetMenuSpecs[Is Equities Emerging Markets],1):(INDEX(tblAssetMenuSpecs[Is Equities Emerging Markets],NumberOfAssets))))</f>
        <v>0</v>
      </c>
      <c r="P138" s="280">
        <f>MMULT(INDEX(ReportAssetWeightsAdverse,ROW()-ROW(P$135),1):INDEX(ReportAssetWeightsAdverse,ROW()-ROW(P$135),NumberOfAssets),INT(INDEX(tblAssetMenuSpecs[Is Commodities],1):(INDEX(tblAssetMenuSpecs[Is Commodities],NumberOfAssets))))</f>
        <v>0</v>
      </c>
      <c r="Q138" s="280">
        <f>MMULT(INDEX(ReportAssetWeightsAdverse,ROW()-ROW(Q$135),1):INDEX(ReportAssetWeightsAdverse,ROW()-ROW(Q$135),NumberOfAssets),INT(INDEX(tblAssetMenuSpecs[Is Private Equity],1):(INDEX(tblAssetMenuSpecs[Is Private Equity],NumberOfAssets))))</f>
        <v>0</v>
      </c>
      <c r="R138" s="280">
        <f>MMULT(INDEX(ReportAssetWeightsAdverse,ROW()-ROW(R$135),1):INDEX(ReportAssetWeightsAdverse,ROW()-ROW(R$135),NumberOfAssets),INT(INDEX(tblAssetMenuSpecs[Is Hedge Funds],1):(INDEX(tblAssetMenuSpecs[Is Hedge Funds],NumberOfAssets))))</f>
        <v>0</v>
      </c>
      <c r="S138" s="280">
        <f>MMULT(INDEX(ReportAssetWeightsAdverse,ROW()-ROW(S$135),1):INDEX(ReportAssetWeightsAdverse,ROW()-ROW(S$135),NumberOfAssets),INT(INDEX(tblAssetMenuSpecs[Is Real Estate EU],1):(INDEX(tblAssetMenuSpecs[Is Real Estate EU],NumberOfAssets))))</f>
        <v>0</v>
      </c>
      <c r="T138" s="280">
        <f>MMULT(INDEX(ReportAssetWeightsAdverse,ROW()-ROW(T$135),1):INDEX(ReportAssetWeightsAdverse,ROW()-ROW(T$135),NumberOfAssets),INT(INDEX(tblAssetMenuSpecs[Is Real Estate US],1):(INDEX(tblAssetMenuSpecs[Is Real Estate US],NumberOfAssets))))</f>
        <v>0</v>
      </c>
      <c r="U138" s="280">
        <f>MMULT(INDEX(ReportAssetWeightsAdverse,ROW()-ROW(U$135),1):INDEX(ReportAssetWeightsAdverse,ROW()-ROW(U$135),NumberOfAssets),INT(INDEX(tblAssetMenuSpecs[Is Real Estate Other Developed Markets],1):(INDEX(tblAssetMenuSpecs[Is Real Estate Other Developed Markets],NumberOfAssets))))</f>
        <v>0</v>
      </c>
      <c r="V138" s="280">
        <f>MMULT(INDEX(ReportAssetWeightsAdverse,ROW()-ROW(V$135),1):INDEX(ReportAssetWeightsAdverse,ROW()-ROW(V$135),NumberOfAssets),INT(INDEX(tblAssetMenuSpecs[Is Real Estate Commercial EU (non-leveraged)],1):(INDEX(tblAssetMenuSpecs[Is Real Estate Commercial EU (non-leveraged)],NumberOfAssets))))</f>
        <v>0</v>
      </c>
      <c r="W138" s="280">
        <f>MMULT(INDEX(ReportAssetWeightsAdverse,ROW()-ROW(W$135),1):INDEX(ReportAssetWeightsAdverse,ROW()-ROW(W$135),NumberOfAssets),INT(INDEX(tblAssetMenuSpecs[Is Real Estate Residential EU (non-leveraged)],1):(INDEX(tblAssetMenuSpecs[Is Real Estate Residential EU (non-leveraged)],NumberOfAssets))))</f>
        <v>0</v>
      </c>
      <c r="X138" s="280">
        <f>MMULT(INDEX(ReportAssetWeightsAdverse,ROW()-ROW(X$135),1):INDEX(ReportAssetWeightsAdverse,ROW()-ROW(X$135),NumberOfAssets),INT(INDEX(tblAssetMenuSpecs[Is Government Bond EU],1):(INDEX(tblAssetMenuSpecs[Is Government Bond EU],NumberOfAssets))))</f>
        <v>0</v>
      </c>
      <c r="Y138" s="280">
        <f>MMULT(INDEX(ReportAssetWeightsAdverse,ROW()-ROW(Y$135),1):INDEX(ReportAssetWeightsAdverse,ROW()-ROW(Y$135),NumberOfAssets),INT(INDEX(tblAssetMenuSpecs[Is Government Bond US],1):(INDEX(tblAssetMenuSpecs[Is Government Bond US],NumberOfAssets))))</f>
        <v>0</v>
      </c>
      <c r="Z138" s="280">
        <f>MMULT(INDEX(ReportAssetWeightsAdverse,ROW()-ROW(Z$135),1):INDEX(ReportAssetWeightsAdverse,ROW()-ROW(Z$135),NumberOfAssets),INT(INDEX(tblAssetMenuSpecs[Is Government Bond Other Developed Markets],1):(INDEX(tblAssetMenuSpecs[Is Government Bond Other Developed Markets],NumberOfAssets))))</f>
        <v>0</v>
      </c>
      <c r="AA138" s="280">
        <f>MMULT(INDEX(ReportAssetWeightsAdverse,ROW()-ROW(AA$135),1):INDEX(ReportAssetWeightsAdverse,ROW()-ROW(AA$135),NumberOfAssets),INT(INDEX(tblAssetMenuSpecs[Is Government Bond Emerging Markets],1):(INDEX(tblAssetMenuSpecs[Is Government Bond Emerging Markets],NumberOfAssets))))</f>
        <v>0</v>
      </c>
      <c r="AB138" s="280">
        <f>MMULT(INDEX(ReportAssetWeightsAdverse,ROW()-ROW(AB$135),1):INDEX(ReportAssetWeightsAdverse,ROW()-ROW(AB$135),NumberOfAssets),INT(INDEX(tblAssetMenuSpecs[Is Corporate Bond],1):(INDEX(tblAssetMenuSpecs[Is Corporate Bond],NumberOfAssets))))</f>
        <v>0</v>
      </c>
      <c r="AC138" s="280">
        <f>MMULT(INDEX(ReportAssetWeightsAdverse,ROW()-ROW(AC$135),1):INDEX(ReportAssetWeightsAdverse,ROW()-ROW(AC$135),NumberOfAssets),INT(INDEX(tblAssetMenuSpecs[Is Corporate Bond Non-Financial],1):(INDEX(tblAssetMenuSpecs[Is Corporate Bond Non-Financial],NumberOfAssets))))</f>
        <v>0</v>
      </c>
      <c r="AD138" s="280">
        <f>MMULT(INDEX(ReportAssetWeightsAdverse,ROW()-ROW(AD$135),1):INDEX(ReportAssetWeightsAdverse,ROW()-ROW(AD$135),NumberOfAssets),INT(INDEX(tblAssetMenuSpecs[Is Corporate Bond Financial],1):(INDEX(tblAssetMenuSpecs[Is Corporate Bond Financial],NumberOfAssets))))</f>
        <v>0</v>
      </c>
      <c r="AE138" s="280">
        <f>MMULT(INDEX(ReportAssetWeightsAdverse,ROW()-ROW(AE$135),1):INDEX(ReportAssetWeightsAdverse,ROW()-ROW(AE$135),NumberOfAssets),INT(INDEX(tblAssetMenuSpecs[Is Cash and Deposits],1):(INDEX(tblAssetMenuSpecs[Is Cash and Deposits],NumberOfAssets))))</f>
        <v>1</v>
      </c>
    </row>
    <row r="139" spans="6:31" x14ac:dyDescent="0.25">
      <c r="F139" s="278">
        <f t="shared" si="1"/>
        <v>32</v>
      </c>
      <c r="G139" s="279">
        <f>MMULT(INDEX(ReportAssetWeightsAdverse,ROW()-ROW(G$135),1):INDEX(ReportAssetWeightsAdverse,ROW()-ROW(G$135),NumberOfAssets),INT(INDEX(tblAssetMenuSpecs[IsEquities],1):(INDEX(tblAssetMenuSpecs[IsEquities],NumberOfAssets))))</f>
        <v>0</v>
      </c>
      <c r="H139" s="279">
        <f>MMULT(INDEX(ReportAssetWeightsAdverse,ROW()-ROW(H$135),1):INDEX(ReportAssetWeightsAdverse,ROW()-ROW(H$135),NumberOfAssets),INT(INDEX(tblAssetMenuSpecs[IsRealEstate],1):(INDEX(tblAssetMenuSpecs[IsRealEstate],NumberOfAssets))))</f>
        <v>0</v>
      </c>
      <c r="I139" s="279">
        <f>MMULT(INDEX(ReportAssetWeightsAdverse,ROW()-ROW(I$135),1):INDEX(ReportAssetWeightsAdverse,ROW()-ROW(I$135),NumberOfAssets),INT(INDEX(tblAssetMenuSpecs[IsAlternatives],1):(INDEX(tblAssetMenuSpecs[IsAlternatives],NumberOfAssets))))</f>
        <v>0</v>
      </c>
      <c r="J139" s="279">
        <f>MMULT(INDEX(ReportAssetWeightsAdverse,ROW()-ROW(J$135),1):INDEX(ReportAssetWeightsAdverse,ROW()-ROW(J$135),NumberOfAssets),INT(INDEX(tblAssetMenuSpecs[IsFixedIncome],1):(INDEX(tblAssetMenuSpecs[IsFixedIncome],NumberOfAssets))))</f>
        <v>1</v>
      </c>
      <c r="L139" s="280">
        <f>MMULT(INDEX(ReportAssetWeightsAdverse,ROW()-ROW(L$135),1):INDEX(ReportAssetWeightsAdverse,ROW()-ROW(L$135),NumberOfAssets),INT(INDEX(tblAssetMenuSpecs[Is Equities EU],1):(INDEX(tblAssetMenuSpecs[Is Equities EU],NumberOfAssets))))</f>
        <v>0</v>
      </c>
      <c r="M139" s="280">
        <f>MMULT(INDEX(ReportAssetWeightsAdverse,ROW()-ROW(M$135),1):INDEX(ReportAssetWeightsAdverse,ROW()-ROW(M$135),NumberOfAssets),INT(INDEX(tblAssetMenuSpecs[Is Equities US],1):(INDEX(tblAssetMenuSpecs[Is Equities US],NumberOfAssets))))</f>
        <v>0</v>
      </c>
      <c r="N139" s="280">
        <f>MMULT(INDEX(ReportAssetWeightsAdverse,ROW()-ROW(N$135),1):INDEX(ReportAssetWeightsAdverse,ROW()-ROW(N$135),NumberOfAssets),INT(INDEX(tblAssetMenuSpecs[Is Equities Other Developed Markets],1):(INDEX(tblAssetMenuSpecs[Is Equities Other Developed Markets],NumberOfAssets))))</f>
        <v>0</v>
      </c>
      <c r="O139" s="280">
        <f>MMULT(INDEX(ReportAssetWeightsAdverse,ROW()-ROW(O$135),1):INDEX(ReportAssetWeightsAdverse,ROW()-ROW(O$135),NumberOfAssets),INT(INDEX(tblAssetMenuSpecs[Is Equities Emerging Markets],1):(INDEX(tblAssetMenuSpecs[Is Equities Emerging Markets],NumberOfAssets))))</f>
        <v>0</v>
      </c>
      <c r="P139" s="280">
        <f>MMULT(INDEX(ReportAssetWeightsAdverse,ROW()-ROW(P$135),1):INDEX(ReportAssetWeightsAdverse,ROW()-ROW(P$135),NumberOfAssets),INT(INDEX(tblAssetMenuSpecs[Is Commodities],1):(INDEX(tblAssetMenuSpecs[Is Commodities],NumberOfAssets))))</f>
        <v>0</v>
      </c>
      <c r="Q139" s="280">
        <f>MMULT(INDEX(ReportAssetWeightsAdverse,ROW()-ROW(Q$135),1):INDEX(ReportAssetWeightsAdverse,ROW()-ROW(Q$135),NumberOfAssets),INT(INDEX(tblAssetMenuSpecs[Is Private Equity],1):(INDEX(tblAssetMenuSpecs[Is Private Equity],NumberOfAssets))))</f>
        <v>0</v>
      </c>
      <c r="R139" s="280">
        <f>MMULT(INDEX(ReportAssetWeightsAdverse,ROW()-ROW(R$135),1):INDEX(ReportAssetWeightsAdverse,ROW()-ROW(R$135),NumberOfAssets),INT(INDEX(tblAssetMenuSpecs[Is Hedge Funds],1):(INDEX(tblAssetMenuSpecs[Is Hedge Funds],NumberOfAssets))))</f>
        <v>0</v>
      </c>
      <c r="S139" s="280">
        <f>MMULT(INDEX(ReportAssetWeightsAdverse,ROW()-ROW(S$135),1):INDEX(ReportAssetWeightsAdverse,ROW()-ROW(S$135),NumberOfAssets),INT(INDEX(tblAssetMenuSpecs[Is Real Estate EU],1):(INDEX(tblAssetMenuSpecs[Is Real Estate EU],NumberOfAssets))))</f>
        <v>0</v>
      </c>
      <c r="T139" s="280">
        <f>MMULT(INDEX(ReportAssetWeightsAdverse,ROW()-ROW(T$135),1):INDEX(ReportAssetWeightsAdverse,ROW()-ROW(T$135),NumberOfAssets),INT(INDEX(tblAssetMenuSpecs[Is Real Estate US],1):(INDEX(tblAssetMenuSpecs[Is Real Estate US],NumberOfAssets))))</f>
        <v>0</v>
      </c>
      <c r="U139" s="280">
        <f>MMULT(INDEX(ReportAssetWeightsAdverse,ROW()-ROW(U$135),1):INDEX(ReportAssetWeightsAdverse,ROW()-ROW(U$135),NumberOfAssets),INT(INDEX(tblAssetMenuSpecs[Is Real Estate Other Developed Markets],1):(INDEX(tblAssetMenuSpecs[Is Real Estate Other Developed Markets],NumberOfAssets))))</f>
        <v>0</v>
      </c>
      <c r="V139" s="280">
        <f>MMULT(INDEX(ReportAssetWeightsAdverse,ROW()-ROW(V$135),1):INDEX(ReportAssetWeightsAdverse,ROW()-ROW(V$135),NumberOfAssets),INT(INDEX(tblAssetMenuSpecs[Is Real Estate Commercial EU (non-leveraged)],1):(INDEX(tblAssetMenuSpecs[Is Real Estate Commercial EU (non-leveraged)],NumberOfAssets))))</f>
        <v>0</v>
      </c>
      <c r="W139" s="280">
        <f>MMULT(INDEX(ReportAssetWeightsAdverse,ROW()-ROW(W$135),1):INDEX(ReportAssetWeightsAdverse,ROW()-ROW(W$135),NumberOfAssets),INT(INDEX(tblAssetMenuSpecs[Is Real Estate Residential EU (non-leveraged)],1):(INDEX(tblAssetMenuSpecs[Is Real Estate Residential EU (non-leveraged)],NumberOfAssets))))</f>
        <v>0</v>
      </c>
      <c r="X139" s="280">
        <f>MMULT(INDEX(ReportAssetWeightsAdverse,ROW()-ROW(X$135),1):INDEX(ReportAssetWeightsAdverse,ROW()-ROW(X$135),NumberOfAssets),INT(INDEX(tblAssetMenuSpecs[Is Government Bond EU],1):(INDEX(tblAssetMenuSpecs[Is Government Bond EU],NumberOfAssets))))</f>
        <v>0</v>
      </c>
      <c r="Y139" s="280">
        <f>MMULT(INDEX(ReportAssetWeightsAdverse,ROW()-ROW(Y$135),1):INDEX(ReportAssetWeightsAdverse,ROW()-ROW(Y$135),NumberOfAssets),INT(INDEX(tblAssetMenuSpecs[Is Government Bond US],1):(INDEX(tblAssetMenuSpecs[Is Government Bond US],NumberOfAssets))))</f>
        <v>0</v>
      </c>
      <c r="Z139" s="280">
        <f>MMULT(INDEX(ReportAssetWeightsAdverse,ROW()-ROW(Z$135),1):INDEX(ReportAssetWeightsAdverse,ROW()-ROW(Z$135),NumberOfAssets),INT(INDEX(tblAssetMenuSpecs[Is Government Bond Other Developed Markets],1):(INDEX(tblAssetMenuSpecs[Is Government Bond Other Developed Markets],NumberOfAssets))))</f>
        <v>0</v>
      </c>
      <c r="AA139" s="280">
        <f>MMULT(INDEX(ReportAssetWeightsAdverse,ROW()-ROW(AA$135),1):INDEX(ReportAssetWeightsAdverse,ROW()-ROW(AA$135),NumberOfAssets),INT(INDEX(tblAssetMenuSpecs[Is Government Bond Emerging Markets],1):(INDEX(tblAssetMenuSpecs[Is Government Bond Emerging Markets],NumberOfAssets))))</f>
        <v>0</v>
      </c>
      <c r="AB139" s="280">
        <f>MMULT(INDEX(ReportAssetWeightsAdverse,ROW()-ROW(AB$135),1):INDEX(ReportAssetWeightsAdverse,ROW()-ROW(AB$135),NumberOfAssets),INT(INDEX(tblAssetMenuSpecs[Is Corporate Bond],1):(INDEX(tblAssetMenuSpecs[Is Corporate Bond],NumberOfAssets))))</f>
        <v>0</v>
      </c>
      <c r="AC139" s="280">
        <f>MMULT(INDEX(ReportAssetWeightsAdverse,ROW()-ROW(AC$135),1):INDEX(ReportAssetWeightsAdverse,ROW()-ROW(AC$135),NumberOfAssets),INT(INDEX(tblAssetMenuSpecs[Is Corporate Bond Non-Financial],1):(INDEX(tblAssetMenuSpecs[Is Corporate Bond Non-Financial],NumberOfAssets))))</f>
        <v>0</v>
      </c>
      <c r="AD139" s="280">
        <f>MMULT(INDEX(ReportAssetWeightsAdverse,ROW()-ROW(AD$135),1):INDEX(ReportAssetWeightsAdverse,ROW()-ROW(AD$135),NumberOfAssets),INT(INDEX(tblAssetMenuSpecs[Is Corporate Bond Financial],1):(INDEX(tblAssetMenuSpecs[Is Corporate Bond Financial],NumberOfAssets))))</f>
        <v>0</v>
      </c>
      <c r="AE139" s="280">
        <f>MMULT(INDEX(ReportAssetWeightsAdverse,ROW()-ROW(AE$135),1):INDEX(ReportAssetWeightsAdverse,ROW()-ROW(AE$135),NumberOfAssets),INT(INDEX(tblAssetMenuSpecs[Is Cash and Deposits],1):(INDEX(tblAssetMenuSpecs[Is Cash and Deposits],NumberOfAssets))))</f>
        <v>1</v>
      </c>
    </row>
    <row r="140" spans="6:31" x14ac:dyDescent="0.25">
      <c r="F140" s="278">
        <f t="shared" si="1"/>
        <v>31</v>
      </c>
      <c r="G140" s="279">
        <f>MMULT(INDEX(ReportAssetWeightsAdverse,ROW()-ROW(G$135),1):INDEX(ReportAssetWeightsAdverse,ROW()-ROW(G$135),NumberOfAssets),INT(INDEX(tblAssetMenuSpecs[IsEquities],1):(INDEX(tblAssetMenuSpecs[IsEquities],NumberOfAssets))))</f>
        <v>0</v>
      </c>
      <c r="H140" s="279">
        <f>MMULT(INDEX(ReportAssetWeightsAdverse,ROW()-ROW(H$135),1):INDEX(ReportAssetWeightsAdverse,ROW()-ROW(H$135),NumberOfAssets),INT(INDEX(tblAssetMenuSpecs[IsRealEstate],1):(INDEX(tblAssetMenuSpecs[IsRealEstate],NumberOfAssets))))</f>
        <v>0</v>
      </c>
      <c r="I140" s="279">
        <f>MMULT(INDEX(ReportAssetWeightsAdverse,ROW()-ROW(I$135),1):INDEX(ReportAssetWeightsAdverse,ROW()-ROW(I$135),NumberOfAssets),INT(INDEX(tblAssetMenuSpecs[IsAlternatives],1):(INDEX(tblAssetMenuSpecs[IsAlternatives],NumberOfAssets))))</f>
        <v>0</v>
      </c>
      <c r="J140" s="279">
        <f>MMULT(INDEX(ReportAssetWeightsAdverse,ROW()-ROW(J$135),1):INDEX(ReportAssetWeightsAdverse,ROW()-ROW(J$135),NumberOfAssets),INT(INDEX(tblAssetMenuSpecs[IsFixedIncome],1):(INDEX(tblAssetMenuSpecs[IsFixedIncome],NumberOfAssets))))</f>
        <v>1</v>
      </c>
      <c r="L140" s="280">
        <f>MMULT(INDEX(ReportAssetWeightsAdverse,ROW()-ROW(L$135),1):INDEX(ReportAssetWeightsAdverse,ROW()-ROW(L$135),NumberOfAssets),INT(INDEX(tblAssetMenuSpecs[Is Equities EU],1):(INDEX(tblAssetMenuSpecs[Is Equities EU],NumberOfAssets))))</f>
        <v>0</v>
      </c>
      <c r="M140" s="280">
        <f>MMULT(INDEX(ReportAssetWeightsAdverse,ROW()-ROW(M$135),1):INDEX(ReportAssetWeightsAdverse,ROW()-ROW(M$135),NumberOfAssets),INT(INDEX(tblAssetMenuSpecs[Is Equities US],1):(INDEX(tblAssetMenuSpecs[Is Equities US],NumberOfAssets))))</f>
        <v>0</v>
      </c>
      <c r="N140" s="280">
        <f>MMULT(INDEX(ReportAssetWeightsAdverse,ROW()-ROW(N$135),1):INDEX(ReportAssetWeightsAdverse,ROW()-ROW(N$135),NumberOfAssets),INT(INDEX(tblAssetMenuSpecs[Is Equities Other Developed Markets],1):(INDEX(tblAssetMenuSpecs[Is Equities Other Developed Markets],NumberOfAssets))))</f>
        <v>0</v>
      </c>
      <c r="O140" s="280">
        <f>MMULT(INDEX(ReportAssetWeightsAdverse,ROW()-ROW(O$135),1):INDEX(ReportAssetWeightsAdverse,ROW()-ROW(O$135),NumberOfAssets),INT(INDEX(tblAssetMenuSpecs[Is Equities Emerging Markets],1):(INDEX(tblAssetMenuSpecs[Is Equities Emerging Markets],NumberOfAssets))))</f>
        <v>0</v>
      </c>
      <c r="P140" s="280">
        <f>MMULT(INDEX(ReportAssetWeightsAdverse,ROW()-ROW(P$135),1):INDEX(ReportAssetWeightsAdverse,ROW()-ROW(P$135),NumberOfAssets),INT(INDEX(tblAssetMenuSpecs[Is Commodities],1):(INDEX(tblAssetMenuSpecs[Is Commodities],NumberOfAssets))))</f>
        <v>0</v>
      </c>
      <c r="Q140" s="280">
        <f>MMULT(INDEX(ReportAssetWeightsAdverse,ROW()-ROW(Q$135),1):INDEX(ReportAssetWeightsAdverse,ROW()-ROW(Q$135),NumberOfAssets),INT(INDEX(tblAssetMenuSpecs[Is Private Equity],1):(INDEX(tblAssetMenuSpecs[Is Private Equity],NumberOfAssets))))</f>
        <v>0</v>
      </c>
      <c r="R140" s="280">
        <f>MMULT(INDEX(ReportAssetWeightsAdverse,ROW()-ROW(R$135),1):INDEX(ReportAssetWeightsAdverse,ROW()-ROW(R$135),NumberOfAssets),INT(INDEX(tblAssetMenuSpecs[Is Hedge Funds],1):(INDEX(tblAssetMenuSpecs[Is Hedge Funds],NumberOfAssets))))</f>
        <v>0</v>
      </c>
      <c r="S140" s="280">
        <f>MMULT(INDEX(ReportAssetWeightsAdverse,ROW()-ROW(S$135),1):INDEX(ReportAssetWeightsAdverse,ROW()-ROW(S$135),NumberOfAssets),INT(INDEX(tblAssetMenuSpecs[Is Real Estate EU],1):(INDEX(tblAssetMenuSpecs[Is Real Estate EU],NumberOfAssets))))</f>
        <v>0</v>
      </c>
      <c r="T140" s="280">
        <f>MMULT(INDEX(ReportAssetWeightsAdverse,ROW()-ROW(T$135),1):INDEX(ReportAssetWeightsAdverse,ROW()-ROW(T$135),NumberOfAssets),INT(INDEX(tblAssetMenuSpecs[Is Real Estate US],1):(INDEX(tblAssetMenuSpecs[Is Real Estate US],NumberOfAssets))))</f>
        <v>0</v>
      </c>
      <c r="U140" s="280">
        <f>MMULT(INDEX(ReportAssetWeightsAdverse,ROW()-ROW(U$135),1):INDEX(ReportAssetWeightsAdverse,ROW()-ROW(U$135),NumberOfAssets),INT(INDEX(tblAssetMenuSpecs[Is Real Estate Other Developed Markets],1):(INDEX(tblAssetMenuSpecs[Is Real Estate Other Developed Markets],NumberOfAssets))))</f>
        <v>0</v>
      </c>
      <c r="V140" s="280">
        <f>MMULT(INDEX(ReportAssetWeightsAdverse,ROW()-ROW(V$135),1):INDEX(ReportAssetWeightsAdverse,ROW()-ROW(V$135),NumberOfAssets),INT(INDEX(tblAssetMenuSpecs[Is Real Estate Commercial EU (non-leveraged)],1):(INDEX(tblAssetMenuSpecs[Is Real Estate Commercial EU (non-leveraged)],NumberOfAssets))))</f>
        <v>0</v>
      </c>
      <c r="W140" s="280">
        <f>MMULT(INDEX(ReportAssetWeightsAdverse,ROW()-ROW(W$135),1):INDEX(ReportAssetWeightsAdverse,ROW()-ROW(W$135),NumberOfAssets),INT(INDEX(tblAssetMenuSpecs[Is Real Estate Residential EU (non-leveraged)],1):(INDEX(tblAssetMenuSpecs[Is Real Estate Residential EU (non-leveraged)],NumberOfAssets))))</f>
        <v>0</v>
      </c>
      <c r="X140" s="280">
        <f>MMULT(INDEX(ReportAssetWeightsAdverse,ROW()-ROW(X$135),1):INDEX(ReportAssetWeightsAdverse,ROW()-ROW(X$135),NumberOfAssets),INT(INDEX(tblAssetMenuSpecs[Is Government Bond EU],1):(INDEX(tblAssetMenuSpecs[Is Government Bond EU],NumberOfAssets))))</f>
        <v>0</v>
      </c>
      <c r="Y140" s="280">
        <f>MMULT(INDEX(ReportAssetWeightsAdverse,ROW()-ROW(Y$135),1):INDEX(ReportAssetWeightsAdverse,ROW()-ROW(Y$135),NumberOfAssets),INT(INDEX(tblAssetMenuSpecs[Is Government Bond US],1):(INDEX(tblAssetMenuSpecs[Is Government Bond US],NumberOfAssets))))</f>
        <v>0</v>
      </c>
      <c r="Z140" s="280">
        <f>MMULT(INDEX(ReportAssetWeightsAdverse,ROW()-ROW(Z$135),1):INDEX(ReportAssetWeightsAdverse,ROW()-ROW(Z$135),NumberOfAssets),INT(INDEX(tblAssetMenuSpecs[Is Government Bond Other Developed Markets],1):(INDEX(tblAssetMenuSpecs[Is Government Bond Other Developed Markets],NumberOfAssets))))</f>
        <v>0</v>
      </c>
      <c r="AA140" s="280">
        <f>MMULT(INDEX(ReportAssetWeightsAdverse,ROW()-ROW(AA$135),1):INDEX(ReportAssetWeightsAdverse,ROW()-ROW(AA$135),NumberOfAssets),INT(INDEX(tblAssetMenuSpecs[Is Government Bond Emerging Markets],1):(INDEX(tblAssetMenuSpecs[Is Government Bond Emerging Markets],NumberOfAssets))))</f>
        <v>0</v>
      </c>
      <c r="AB140" s="280">
        <f>MMULT(INDEX(ReportAssetWeightsAdverse,ROW()-ROW(AB$135),1):INDEX(ReportAssetWeightsAdverse,ROW()-ROW(AB$135),NumberOfAssets),INT(INDEX(tblAssetMenuSpecs[Is Corporate Bond],1):(INDEX(tblAssetMenuSpecs[Is Corporate Bond],NumberOfAssets))))</f>
        <v>0</v>
      </c>
      <c r="AC140" s="280">
        <f>MMULT(INDEX(ReportAssetWeightsAdverse,ROW()-ROW(AC$135),1):INDEX(ReportAssetWeightsAdverse,ROW()-ROW(AC$135),NumberOfAssets),INT(INDEX(tblAssetMenuSpecs[Is Corporate Bond Non-Financial],1):(INDEX(tblAssetMenuSpecs[Is Corporate Bond Non-Financial],NumberOfAssets))))</f>
        <v>0</v>
      </c>
      <c r="AD140" s="280">
        <f>MMULT(INDEX(ReportAssetWeightsAdverse,ROW()-ROW(AD$135),1):INDEX(ReportAssetWeightsAdverse,ROW()-ROW(AD$135),NumberOfAssets),INT(INDEX(tblAssetMenuSpecs[Is Corporate Bond Financial],1):(INDEX(tblAssetMenuSpecs[Is Corporate Bond Financial],NumberOfAssets))))</f>
        <v>0</v>
      </c>
      <c r="AE140" s="280">
        <f>MMULT(INDEX(ReportAssetWeightsAdverse,ROW()-ROW(AE$135),1):INDEX(ReportAssetWeightsAdverse,ROW()-ROW(AE$135),NumberOfAssets),INT(INDEX(tblAssetMenuSpecs[Is Cash and Deposits],1):(INDEX(tblAssetMenuSpecs[Is Cash and Deposits],NumberOfAssets))))</f>
        <v>1</v>
      </c>
    </row>
    <row r="141" spans="6:31" x14ac:dyDescent="0.25">
      <c r="F141" s="278">
        <f t="shared" si="1"/>
        <v>30</v>
      </c>
      <c r="G141" s="279">
        <f>MMULT(INDEX(ReportAssetWeightsAdverse,ROW()-ROW(G$135),1):INDEX(ReportAssetWeightsAdverse,ROW()-ROW(G$135),NumberOfAssets),INT(INDEX(tblAssetMenuSpecs[IsEquities],1):(INDEX(tblAssetMenuSpecs[IsEquities],NumberOfAssets))))</f>
        <v>0</v>
      </c>
      <c r="H141" s="279">
        <f>MMULT(INDEX(ReportAssetWeightsAdverse,ROW()-ROW(H$135),1):INDEX(ReportAssetWeightsAdverse,ROW()-ROW(H$135),NumberOfAssets),INT(INDEX(tblAssetMenuSpecs[IsRealEstate],1):(INDEX(tblAssetMenuSpecs[IsRealEstate],NumberOfAssets))))</f>
        <v>0</v>
      </c>
      <c r="I141" s="279">
        <f>MMULT(INDEX(ReportAssetWeightsAdverse,ROW()-ROW(I$135),1):INDEX(ReportAssetWeightsAdverse,ROW()-ROW(I$135),NumberOfAssets),INT(INDEX(tblAssetMenuSpecs[IsAlternatives],1):(INDEX(tblAssetMenuSpecs[IsAlternatives],NumberOfAssets))))</f>
        <v>0</v>
      </c>
      <c r="J141" s="279">
        <f>MMULT(INDEX(ReportAssetWeightsAdverse,ROW()-ROW(J$135),1):INDEX(ReportAssetWeightsAdverse,ROW()-ROW(J$135),NumberOfAssets),INT(INDEX(tblAssetMenuSpecs[IsFixedIncome],1):(INDEX(tblAssetMenuSpecs[IsFixedIncome],NumberOfAssets))))</f>
        <v>1</v>
      </c>
      <c r="L141" s="280">
        <f>MMULT(INDEX(ReportAssetWeightsAdverse,ROW()-ROW(L$135),1):INDEX(ReportAssetWeightsAdverse,ROW()-ROW(L$135),NumberOfAssets),INT(INDEX(tblAssetMenuSpecs[Is Equities EU],1):(INDEX(tblAssetMenuSpecs[Is Equities EU],NumberOfAssets))))</f>
        <v>0</v>
      </c>
      <c r="M141" s="280">
        <f>MMULT(INDEX(ReportAssetWeightsAdverse,ROW()-ROW(M$135),1):INDEX(ReportAssetWeightsAdverse,ROW()-ROW(M$135),NumberOfAssets),INT(INDEX(tblAssetMenuSpecs[Is Equities US],1):(INDEX(tblAssetMenuSpecs[Is Equities US],NumberOfAssets))))</f>
        <v>0</v>
      </c>
      <c r="N141" s="280">
        <f>MMULT(INDEX(ReportAssetWeightsAdverse,ROW()-ROW(N$135),1):INDEX(ReportAssetWeightsAdverse,ROW()-ROW(N$135),NumberOfAssets),INT(INDEX(tblAssetMenuSpecs[Is Equities Other Developed Markets],1):(INDEX(tblAssetMenuSpecs[Is Equities Other Developed Markets],NumberOfAssets))))</f>
        <v>0</v>
      </c>
      <c r="O141" s="280">
        <f>MMULT(INDEX(ReportAssetWeightsAdverse,ROW()-ROW(O$135),1):INDEX(ReportAssetWeightsAdverse,ROW()-ROW(O$135),NumberOfAssets),INT(INDEX(tblAssetMenuSpecs[Is Equities Emerging Markets],1):(INDEX(tblAssetMenuSpecs[Is Equities Emerging Markets],NumberOfAssets))))</f>
        <v>0</v>
      </c>
      <c r="P141" s="280">
        <f>MMULT(INDEX(ReportAssetWeightsAdverse,ROW()-ROW(P$135),1):INDEX(ReportAssetWeightsAdverse,ROW()-ROW(P$135),NumberOfAssets),INT(INDEX(tblAssetMenuSpecs[Is Commodities],1):(INDEX(tblAssetMenuSpecs[Is Commodities],NumberOfAssets))))</f>
        <v>0</v>
      </c>
      <c r="Q141" s="280">
        <f>MMULT(INDEX(ReportAssetWeightsAdverse,ROW()-ROW(Q$135),1):INDEX(ReportAssetWeightsAdverse,ROW()-ROW(Q$135),NumberOfAssets),INT(INDEX(tblAssetMenuSpecs[Is Private Equity],1):(INDEX(tblAssetMenuSpecs[Is Private Equity],NumberOfAssets))))</f>
        <v>0</v>
      </c>
      <c r="R141" s="280">
        <f>MMULT(INDEX(ReportAssetWeightsAdverse,ROW()-ROW(R$135),1):INDEX(ReportAssetWeightsAdverse,ROW()-ROW(R$135),NumberOfAssets),INT(INDEX(tblAssetMenuSpecs[Is Hedge Funds],1):(INDEX(tblAssetMenuSpecs[Is Hedge Funds],NumberOfAssets))))</f>
        <v>0</v>
      </c>
      <c r="S141" s="280">
        <f>MMULT(INDEX(ReportAssetWeightsAdverse,ROW()-ROW(S$135),1):INDEX(ReportAssetWeightsAdverse,ROW()-ROW(S$135),NumberOfAssets),INT(INDEX(tblAssetMenuSpecs[Is Real Estate EU],1):(INDEX(tblAssetMenuSpecs[Is Real Estate EU],NumberOfAssets))))</f>
        <v>0</v>
      </c>
      <c r="T141" s="280">
        <f>MMULT(INDEX(ReportAssetWeightsAdverse,ROW()-ROW(T$135),1):INDEX(ReportAssetWeightsAdverse,ROW()-ROW(T$135),NumberOfAssets),INT(INDEX(tblAssetMenuSpecs[Is Real Estate US],1):(INDEX(tblAssetMenuSpecs[Is Real Estate US],NumberOfAssets))))</f>
        <v>0</v>
      </c>
      <c r="U141" s="280">
        <f>MMULT(INDEX(ReportAssetWeightsAdverse,ROW()-ROW(U$135),1):INDEX(ReportAssetWeightsAdverse,ROW()-ROW(U$135),NumberOfAssets),INT(INDEX(tblAssetMenuSpecs[Is Real Estate Other Developed Markets],1):(INDEX(tblAssetMenuSpecs[Is Real Estate Other Developed Markets],NumberOfAssets))))</f>
        <v>0</v>
      </c>
      <c r="V141" s="280">
        <f>MMULT(INDEX(ReportAssetWeightsAdverse,ROW()-ROW(V$135),1):INDEX(ReportAssetWeightsAdverse,ROW()-ROW(V$135),NumberOfAssets),INT(INDEX(tblAssetMenuSpecs[Is Real Estate Commercial EU (non-leveraged)],1):(INDEX(tblAssetMenuSpecs[Is Real Estate Commercial EU (non-leveraged)],NumberOfAssets))))</f>
        <v>0</v>
      </c>
      <c r="W141" s="280">
        <f>MMULT(INDEX(ReportAssetWeightsAdverse,ROW()-ROW(W$135),1):INDEX(ReportAssetWeightsAdverse,ROW()-ROW(W$135),NumberOfAssets),INT(INDEX(tblAssetMenuSpecs[Is Real Estate Residential EU (non-leveraged)],1):(INDEX(tblAssetMenuSpecs[Is Real Estate Residential EU (non-leveraged)],NumberOfAssets))))</f>
        <v>0</v>
      </c>
      <c r="X141" s="280">
        <f>MMULT(INDEX(ReportAssetWeightsAdverse,ROW()-ROW(X$135),1):INDEX(ReportAssetWeightsAdverse,ROW()-ROW(X$135),NumberOfAssets),INT(INDEX(tblAssetMenuSpecs[Is Government Bond EU],1):(INDEX(tblAssetMenuSpecs[Is Government Bond EU],NumberOfAssets))))</f>
        <v>0</v>
      </c>
      <c r="Y141" s="280">
        <f>MMULT(INDEX(ReportAssetWeightsAdverse,ROW()-ROW(Y$135),1):INDEX(ReportAssetWeightsAdverse,ROW()-ROW(Y$135),NumberOfAssets),INT(INDEX(tblAssetMenuSpecs[Is Government Bond US],1):(INDEX(tblAssetMenuSpecs[Is Government Bond US],NumberOfAssets))))</f>
        <v>0</v>
      </c>
      <c r="Z141" s="280">
        <f>MMULT(INDEX(ReportAssetWeightsAdverse,ROW()-ROW(Z$135),1):INDEX(ReportAssetWeightsAdverse,ROW()-ROW(Z$135),NumberOfAssets),INT(INDEX(tblAssetMenuSpecs[Is Government Bond Other Developed Markets],1):(INDEX(tblAssetMenuSpecs[Is Government Bond Other Developed Markets],NumberOfAssets))))</f>
        <v>0</v>
      </c>
      <c r="AA141" s="280">
        <f>MMULT(INDEX(ReportAssetWeightsAdverse,ROW()-ROW(AA$135),1):INDEX(ReportAssetWeightsAdverse,ROW()-ROW(AA$135),NumberOfAssets),INT(INDEX(tblAssetMenuSpecs[Is Government Bond Emerging Markets],1):(INDEX(tblAssetMenuSpecs[Is Government Bond Emerging Markets],NumberOfAssets))))</f>
        <v>0</v>
      </c>
      <c r="AB141" s="280">
        <f>MMULT(INDEX(ReportAssetWeightsAdverse,ROW()-ROW(AB$135),1):INDEX(ReportAssetWeightsAdverse,ROW()-ROW(AB$135),NumberOfAssets),INT(INDEX(tblAssetMenuSpecs[Is Corporate Bond],1):(INDEX(tblAssetMenuSpecs[Is Corporate Bond],NumberOfAssets))))</f>
        <v>0</v>
      </c>
      <c r="AC141" s="280">
        <f>MMULT(INDEX(ReportAssetWeightsAdverse,ROW()-ROW(AC$135),1):INDEX(ReportAssetWeightsAdverse,ROW()-ROW(AC$135),NumberOfAssets),INT(INDEX(tblAssetMenuSpecs[Is Corporate Bond Non-Financial],1):(INDEX(tblAssetMenuSpecs[Is Corporate Bond Non-Financial],NumberOfAssets))))</f>
        <v>0</v>
      </c>
      <c r="AD141" s="280">
        <f>MMULT(INDEX(ReportAssetWeightsAdverse,ROW()-ROW(AD$135),1):INDEX(ReportAssetWeightsAdverse,ROW()-ROW(AD$135),NumberOfAssets),INT(INDEX(tblAssetMenuSpecs[Is Corporate Bond Financial],1):(INDEX(tblAssetMenuSpecs[Is Corporate Bond Financial],NumberOfAssets))))</f>
        <v>0</v>
      </c>
      <c r="AE141" s="280">
        <f>MMULT(INDEX(ReportAssetWeightsAdverse,ROW()-ROW(AE$135),1):INDEX(ReportAssetWeightsAdverse,ROW()-ROW(AE$135),NumberOfAssets),INT(INDEX(tblAssetMenuSpecs[Is Cash and Deposits],1):(INDEX(tblAssetMenuSpecs[Is Cash and Deposits],NumberOfAssets))))</f>
        <v>1</v>
      </c>
    </row>
    <row r="142" spans="6:31" x14ac:dyDescent="0.25">
      <c r="F142" s="278">
        <f t="shared" si="1"/>
        <v>29</v>
      </c>
      <c r="G142" s="279">
        <f>MMULT(INDEX(ReportAssetWeightsAdverse,ROW()-ROW(G$135),1):INDEX(ReportAssetWeightsAdverse,ROW()-ROW(G$135),NumberOfAssets),INT(INDEX(tblAssetMenuSpecs[IsEquities],1):(INDEX(tblAssetMenuSpecs[IsEquities],NumberOfAssets))))</f>
        <v>0</v>
      </c>
      <c r="H142" s="279">
        <f>MMULT(INDEX(ReportAssetWeightsAdverse,ROW()-ROW(H$135),1):INDEX(ReportAssetWeightsAdverse,ROW()-ROW(H$135),NumberOfAssets),INT(INDEX(tblAssetMenuSpecs[IsRealEstate],1):(INDEX(tblAssetMenuSpecs[IsRealEstate],NumberOfAssets))))</f>
        <v>0</v>
      </c>
      <c r="I142" s="279">
        <f>MMULT(INDEX(ReportAssetWeightsAdverse,ROW()-ROW(I$135),1):INDEX(ReportAssetWeightsAdverse,ROW()-ROW(I$135),NumberOfAssets),INT(INDEX(tblAssetMenuSpecs[IsAlternatives],1):(INDEX(tblAssetMenuSpecs[IsAlternatives],NumberOfAssets))))</f>
        <v>0</v>
      </c>
      <c r="J142" s="279">
        <f>MMULT(INDEX(ReportAssetWeightsAdverse,ROW()-ROW(J$135),1):INDEX(ReportAssetWeightsAdverse,ROW()-ROW(J$135),NumberOfAssets),INT(INDEX(tblAssetMenuSpecs[IsFixedIncome],1):(INDEX(tblAssetMenuSpecs[IsFixedIncome],NumberOfAssets))))</f>
        <v>1</v>
      </c>
      <c r="L142" s="280">
        <f>MMULT(INDEX(ReportAssetWeightsAdverse,ROW()-ROW(L$135),1):INDEX(ReportAssetWeightsAdverse,ROW()-ROW(L$135),NumberOfAssets),INT(INDEX(tblAssetMenuSpecs[Is Equities EU],1):(INDEX(tblAssetMenuSpecs[Is Equities EU],NumberOfAssets))))</f>
        <v>0</v>
      </c>
      <c r="M142" s="280">
        <f>MMULT(INDEX(ReportAssetWeightsAdverse,ROW()-ROW(M$135),1):INDEX(ReportAssetWeightsAdverse,ROW()-ROW(M$135),NumberOfAssets),INT(INDEX(tblAssetMenuSpecs[Is Equities US],1):(INDEX(tblAssetMenuSpecs[Is Equities US],NumberOfAssets))))</f>
        <v>0</v>
      </c>
      <c r="N142" s="280">
        <f>MMULT(INDEX(ReportAssetWeightsAdverse,ROW()-ROW(N$135),1):INDEX(ReportAssetWeightsAdverse,ROW()-ROW(N$135),NumberOfAssets),INT(INDEX(tblAssetMenuSpecs[Is Equities Other Developed Markets],1):(INDEX(tblAssetMenuSpecs[Is Equities Other Developed Markets],NumberOfAssets))))</f>
        <v>0</v>
      </c>
      <c r="O142" s="280">
        <f>MMULT(INDEX(ReportAssetWeightsAdverse,ROW()-ROW(O$135),1):INDEX(ReportAssetWeightsAdverse,ROW()-ROW(O$135),NumberOfAssets),INT(INDEX(tblAssetMenuSpecs[Is Equities Emerging Markets],1):(INDEX(tblAssetMenuSpecs[Is Equities Emerging Markets],NumberOfAssets))))</f>
        <v>0</v>
      </c>
      <c r="P142" s="280">
        <f>MMULT(INDEX(ReportAssetWeightsAdverse,ROW()-ROW(P$135),1):INDEX(ReportAssetWeightsAdverse,ROW()-ROW(P$135),NumberOfAssets),INT(INDEX(tblAssetMenuSpecs[Is Commodities],1):(INDEX(tblAssetMenuSpecs[Is Commodities],NumberOfAssets))))</f>
        <v>0</v>
      </c>
      <c r="Q142" s="280">
        <f>MMULT(INDEX(ReportAssetWeightsAdverse,ROW()-ROW(Q$135),1):INDEX(ReportAssetWeightsAdverse,ROW()-ROW(Q$135),NumberOfAssets),INT(INDEX(tblAssetMenuSpecs[Is Private Equity],1):(INDEX(tblAssetMenuSpecs[Is Private Equity],NumberOfAssets))))</f>
        <v>0</v>
      </c>
      <c r="R142" s="280">
        <f>MMULT(INDEX(ReportAssetWeightsAdverse,ROW()-ROW(R$135),1):INDEX(ReportAssetWeightsAdverse,ROW()-ROW(R$135),NumberOfAssets),INT(INDEX(tblAssetMenuSpecs[Is Hedge Funds],1):(INDEX(tblAssetMenuSpecs[Is Hedge Funds],NumberOfAssets))))</f>
        <v>0</v>
      </c>
      <c r="S142" s="280">
        <f>MMULT(INDEX(ReportAssetWeightsAdverse,ROW()-ROW(S$135),1):INDEX(ReportAssetWeightsAdverse,ROW()-ROW(S$135),NumberOfAssets),INT(INDEX(tblAssetMenuSpecs[Is Real Estate EU],1):(INDEX(tblAssetMenuSpecs[Is Real Estate EU],NumberOfAssets))))</f>
        <v>0</v>
      </c>
      <c r="T142" s="280">
        <f>MMULT(INDEX(ReportAssetWeightsAdverse,ROW()-ROW(T$135),1):INDEX(ReportAssetWeightsAdverse,ROW()-ROW(T$135),NumberOfAssets),INT(INDEX(tblAssetMenuSpecs[Is Real Estate US],1):(INDEX(tblAssetMenuSpecs[Is Real Estate US],NumberOfAssets))))</f>
        <v>0</v>
      </c>
      <c r="U142" s="280">
        <f>MMULT(INDEX(ReportAssetWeightsAdverse,ROW()-ROW(U$135),1):INDEX(ReportAssetWeightsAdverse,ROW()-ROW(U$135),NumberOfAssets),INT(INDEX(tblAssetMenuSpecs[Is Real Estate Other Developed Markets],1):(INDEX(tblAssetMenuSpecs[Is Real Estate Other Developed Markets],NumberOfAssets))))</f>
        <v>0</v>
      </c>
      <c r="V142" s="280">
        <f>MMULT(INDEX(ReportAssetWeightsAdverse,ROW()-ROW(V$135),1):INDEX(ReportAssetWeightsAdverse,ROW()-ROW(V$135),NumberOfAssets),INT(INDEX(tblAssetMenuSpecs[Is Real Estate Commercial EU (non-leveraged)],1):(INDEX(tblAssetMenuSpecs[Is Real Estate Commercial EU (non-leveraged)],NumberOfAssets))))</f>
        <v>0</v>
      </c>
      <c r="W142" s="280">
        <f>MMULT(INDEX(ReportAssetWeightsAdverse,ROW()-ROW(W$135),1):INDEX(ReportAssetWeightsAdverse,ROW()-ROW(W$135),NumberOfAssets),INT(INDEX(tblAssetMenuSpecs[Is Real Estate Residential EU (non-leveraged)],1):(INDEX(tblAssetMenuSpecs[Is Real Estate Residential EU (non-leveraged)],NumberOfAssets))))</f>
        <v>0</v>
      </c>
      <c r="X142" s="280">
        <f>MMULT(INDEX(ReportAssetWeightsAdverse,ROW()-ROW(X$135),1):INDEX(ReportAssetWeightsAdverse,ROW()-ROW(X$135),NumberOfAssets),INT(INDEX(tblAssetMenuSpecs[Is Government Bond EU],1):(INDEX(tblAssetMenuSpecs[Is Government Bond EU],NumberOfAssets))))</f>
        <v>0</v>
      </c>
      <c r="Y142" s="280">
        <f>MMULT(INDEX(ReportAssetWeightsAdverse,ROW()-ROW(Y$135),1):INDEX(ReportAssetWeightsAdverse,ROW()-ROW(Y$135),NumberOfAssets),INT(INDEX(tblAssetMenuSpecs[Is Government Bond US],1):(INDEX(tblAssetMenuSpecs[Is Government Bond US],NumberOfAssets))))</f>
        <v>0</v>
      </c>
      <c r="Z142" s="280">
        <f>MMULT(INDEX(ReportAssetWeightsAdverse,ROW()-ROW(Z$135),1):INDEX(ReportAssetWeightsAdverse,ROW()-ROW(Z$135),NumberOfAssets),INT(INDEX(tblAssetMenuSpecs[Is Government Bond Other Developed Markets],1):(INDEX(tblAssetMenuSpecs[Is Government Bond Other Developed Markets],NumberOfAssets))))</f>
        <v>0</v>
      </c>
      <c r="AA142" s="280">
        <f>MMULT(INDEX(ReportAssetWeightsAdverse,ROW()-ROW(AA$135),1):INDEX(ReportAssetWeightsAdverse,ROW()-ROW(AA$135),NumberOfAssets),INT(INDEX(tblAssetMenuSpecs[Is Government Bond Emerging Markets],1):(INDEX(tblAssetMenuSpecs[Is Government Bond Emerging Markets],NumberOfAssets))))</f>
        <v>0</v>
      </c>
      <c r="AB142" s="280">
        <f>MMULT(INDEX(ReportAssetWeightsAdverse,ROW()-ROW(AB$135),1):INDEX(ReportAssetWeightsAdverse,ROW()-ROW(AB$135),NumberOfAssets),INT(INDEX(tblAssetMenuSpecs[Is Corporate Bond],1):(INDEX(tblAssetMenuSpecs[Is Corporate Bond],NumberOfAssets))))</f>
        <v>0</v>
      </c>
      <c r="AC142" s="280">
        <f>MMULT(INDEX(ReportAssetWeightsAdverse,ROW()-ROW(AC$135),1):INDEX(ReportAssetWeightsAdverse,ROW()-ROW(AC$135),NumberOfAssets),INT(INDEX(tblAssetMenuSpecs[Is Corporate Bond Non-Financial],1):(INDEX(tblAssetMenuSpecs[Is Corporate Bond Non-Financial],NumberOfAssets))))</f>
        <v>0</v>
      </c>
      <c r="AD142" s="280">
        <f>MMULT(INDEX(ReportAssetWeightsAdverse,ROW()-ROW(AD$135),1):INDEX(ReportAssetWeightsAdverse,ROW()-ROW(AD$135),NumberOfAssets),INT(INDEX(tblAssetMenuSpecs[Is Corporate Bond Financial],1):(INDEX(tblAssetMenuSpecs[Is Corporate Bond Financial],NumberOfAssets))))</f>
        <v>0</v>
      </c>
      <c r="AE142" s="280">
        <f>MMULT(INDEX(ReportAssetWeightsAdverse,ROW()-ROW(AE$135),1):INDEX(ReportAssetWeightsAdverse,ROW()-ROW(AE$135),NumberOfAssets),INT(INDEX(tblAssetMenuSpecs[Is Cash and Deposits],1):(INDEX(tblAssetMenuSpecs[Is Cash and Deposits],NumberOfAssets))))</f>
        <v>1</v>
      </c>
    </row>
    <row r="143" spans="6:31" x14ac:dyDescent="0.25">
      <c r="F143" s="278">
        <f t="shared" si="1"/>
        <v>28</v>
      </c>
      <c r="G143" s="279">
        <f>MMULT(INDEX(ReportAssetWeightsAdverse,ROW()-ROW(G$135),1):INDEX(ReportAssetWeightsAdverse,ROW()-ROW(G$135),NumberOfAssets),INT(INDEX(tblAssetMenuSpecs[IsEquities],1):(INDEX(tblAssetMenuSpecs[IsEquities],NumberOfAssets))))</f>
        <v>0</v>
      </c>
      <c r="H143" s="279">
        <f>MMULT(INDEX(ReportAssetWeightsAdverse,ROW()-ROW(H$135),1):INDEX(ReportAssetWeightsAdverse,ROW()-ROW(H$135),NumberOfAssets),INT(INDEX(tblAssetMenuSpecs[IsRealEstate],1):(INDEX(tblAssetMenuSpecs[IsRealEstate],NumberOfAssets))))</f>
        <v>0</v>
      </c>
      <c r="I143" s="279">
        <f>MMULT(INDEX(ReportAssetWeightsAdverse,ROW()-ROW(I$135),1):INDEX(ReportAssetWeightsAdverse,ROW()-ROW(I$135),NumberOfAssets),INT(INDEX(tblAssetMenuSpecs[IsAlternatives],1):(INDEX(tblAssetMenuSpecs[IsAlternatives],NumberOfAssets))))</f>
        <v>0</v>
      </c>
      <c r="J143" s="279">
        <f>MMULT(INDEX(ReportAssetWeightsAdverse,ROW()-ROW(J$135),1):INDEX(ReportAssetWeightsAdverse,ROW()-ROW(J$135),NumberOfAssets),INT(INDEX(tblAssetMenuSpecs[IsFixedIncome],1):(INDEX(tblAssetMenuSpecs[IsFixedIncome],NumberOfAssets))))</f>
        <v>1</v>
      </c>
      <c r="L143" s="280">
        <f>MMULT(INDEX(ReportAssetWeightsAdverse,ROW()-ROW(L$135),1):INDEX(ReportAssetWeightsAdverse,ROW()-ROW(L$135),NumberOfAssets),INT(INDEX(tblAssetMenuSpecs[Is Equities EU],1):(INDEX(tblAssetMenuSpecs[Is Equities EU],NumberOfAssets))))</f>
        <v>0</v>
      </c>
      <c r="M143" s="280">
        <f>MMULT(INDEX(ReportAssetWeightsAdverse,ROW()-ROW(M$135),1):INDEX(ReportAssetWeightsAdverse,ROW()-ROW(M$135),NumberOfAssets),INT(INDEX(tblAssetMenuSpecs[Is Equities US],1):(INDEX(tblAssetMenuSpecs[Is Equities US],NumberOfAssets))))</f>
        <v>0</v>
      </c>
      <c r="N143" s="280">
        <f>MMULT(INDEX(ReportAssetWeightsAdverse,ROW()-ROW(N$135),1):INDEX(ReportAssetWeightsAdverse,ROW()-ROW(N$135),NumberOfAssets),INT(INDEX(tblAssetMenuSpecs[Is Equities Other Developed Markets],1):(INDEX(tblAssetMenuSpecs[Is Equities Other Developed Markets],NumberOfAssets))))</f>
        <v>0</v>
      </c>
      <c r="O143" s="280">
        <f>MMULT(INDEX(ReportAssetWeightsAdverse,ROW()-ROW(O$135),1):INDEX(ReportAssetWeightsAdverse,ROW()-ROW(O$135),NumberOfAssets),INT(INDEX(tblAssetMenuSpecs[Is Equities Emerging Markets],1):(INDEX(tblAssetMenuSpecs[Is Equities Emerging Markets],NumberOfAssets))))</f>
        <v>0</v>
      </c>
      <c r="P143" s="280">
        <f>MMULT(INDEX(ReportAssetWeightsAdverse,ROW()-ROW(P$135),1):INDEX(ReportAssetWeightsAdverse,ROW()-ROW(P$135),NumberOfAssets),INT(INDEX(tblAssetMenuSpecs[Is Commodities],1):(INDEX(tblAssetMenuSpecs[Is Commodities],NumberOfAssets))))</f>
        <v>0</v>
      </c>
      <c r="Q143" s="280">
        <f>MMULT(INDEX(ReportAssetWeightsAdverse,ROW()-ROW(Q$135),1):INDEX(ReportAssetWeightsAdverse,ROW()-ROW(Q$135),NumberOfAssets),INT(INDEX(tblAssetMenuSpecs[Is Private Equity],1):(INDEX(tblAssetMenuSpecs[Is Private Equity],NumberOfAssets))))</f>
        <v>0</v>
      </c>
      <c r="R143" s="280">
        <f>MMULT(INDEX(ReportAssetWeightsAdverse,ROW()-ROW(R$135),1):INDEX(ReportAssetWeightsAdverse,ROW()-ROW(R$135),NumberOfAssets),INT(INDEX(tblAssetMenuSpecs[Is Hedge Funds],1):(INDEX(tblAssetMenuSpecs[Is Hedge Funds],NumberOfAssets))))</f>
        <v>0</v>
      </c>
      <c r="S143" s="280">
        <f>MMULT(INDEX(ReportAssetWeightsAdverse,ROW()-ROW(S$135),1):INDEX(ReportAssetWeightsAdverse,ROW()-ROW(S$135),NumberOfAssets),INT(INDEX(tblAssetMenuSpecs[Is Real Estate EU],1):(INDEX(tblAssetMenuSpecs[Is Real Estate EU],NumberOfAssets))))</f>
        <v>0</v>
      </c>
      <c r="T143" s="280">
        <f>MMULT(INDEX(ReportAssetWeightsAdverse,ROW()-ROW(T$135),1):INDEX(ReportAssetWeightsAdverse,ROW()-ROW(T$135),NumberOfAssets),INT(INDEX(tblAssetMenuSpecs[Is Real Estate US],1):(INDEX(tblAssetMenuSpecs[Is Real Estate US],NumberOfAssets))))</f>
        <v>0</v>
      </c>
      <c r="U143" s="280">
        <f>MMULT(INDEX(ReportAssetWeightsAdverse,ROW()-ROW(U$135),1):INDEX(ReportAssetWeightsAdverse,ROW()-ROW(U$135),NumberOfAssets),INT(INDEX(tblAssetMenuSpecs[Is Real Estate Other Developed Markets],1):(INDEX(tblAssetMenuSpecs[Is Real Estate Other Developed Markets],NumberOfAssets))))</f>
        <v>0</v>
      </c>
      <c r="V143" s="280">
        <f>MMULT(INDEX(ReportAssetWeightsAdverse,ROW()-ROW(V$135),1):INDEX(ReportAssetWeightsAdverse,ROW()-ROW(V$135),NumberOfAssets),INT(INDEX(tblAssetMenuSpecs[Is Real Estate Commercial EU (non-leveraged)],1):(INDEX(tblAssetMenuSpecs[Is Real Estate Commercial EU (non-leveraged)],NumberOfAssets))))</f>
        <v>0</v>
      </c>
      <c r="W143" s="280">
        <f>MMULT(INDEX(ReportAssetWeightsAdverse,ROW()-ROW(W$135),1):INDEX(ReportAssetWeightsAdverse,ROW()-ROW(W$135),NumberOfAssets),INT(INDEX(tblAssetMenuSpecs[Is Real Estate Residential EU (non-leveraged)],1):(INDEX(tblAssetMenuSpecs[Is Real Estate Residential EU (non-leveraged)],NumberOfAssets))))</f>
        <v>0</v>
      </c>
      <c r="X143" s="280">
        <f>MMULT(INDEX(ReportAssetWeightsAdverse,ROW()-ROW(X$135),1):INDEX(ReportAssetWeightsAdverse,ROW()-ROW(X$135),NumberOfAssets),INT(INDEX(tblAssetMenuSpecs[Is Government Bond EU],1):(INDEX(tblAssetMenuSpecs[Is Government Bond EU],NumberOfAssets))))</f>
        <v>0</v>
      </c>
      <c r="Y143" s="280">
        <f>MMULT(INDEX(ReportAssetWeightsAdverse,ROW()-ROW(Y$135),1):INDEX(ReportAssetWeightsAdverse,ROW()-ROW(Y$135),NumberOfAssets),INT(INDEX(tblAssetMenuSpecs[Is Government Bond US],1):(INDEX(tblAssetMenuSpecs[Is Government Bond US],NumberOfAssets))))</f>
        <v>0</v>
      </c>
      <c r="Z143" s="280">
        <f>MMULT(INDEX(ReportAssetWeightsAdverse,ROW()-ROW(Z$135),1):INDEX(ReportAssetWeightsAdverse,ROW()-ROW(Z$135),NumberOfAssets),INT(INDEX(tblAssetMenuSpecs[Is Government Bond Other Developed Markets],1):(INDEX(tblAssetMenuSpecs[Is Government Bond Other Developed Markets],NumberOfAssets))))</f>
        <v>0</v>
      </c>
      <c r="AA143" s="280">
        <f>MMULT(INDEX(ReportAssetWeightsAdverse,ROW()-ROW(AA$135),1):INDEX(ReportAssetWeightsAdverse,ROW()-ROW(AA$135),NumberOfAssets),INT(INDEX(tblAssetMenuSpecs[Is Government Bond Emerging Markets],1):(INDEX(tblAssetMenuSpecs[Is Government Bond Emerging Markets],NumberOfAssets))))</f>
        <v>0</v>
      </c>
      <c r="AB143" s="280">
        <f>MMULT(INDEX(ReportAssetWeightsAdverse,ROW()-ROW(AB$135),1):INDEX(ReportAssetWeightsAdverse,ROW()-ROW(AB$135),NumberOfAssets),INT(INDEX(tblAssetMenuSpecs[Is Corporate Bond],1):(INDEX(tblAssetMenuSpecs[Is Corporate Bond],NumberOfAssets))))</f>
        <v>0</v>
      </c>
      <c r="AC143" s="280">
        <f>MMULT(INDEX(ReportAssetWeightsAdverse,ROW()-ROW(AC$135),1):INDEX(ReportAssetWeightsAdverse,ROW()-ROW(AC$135),NumberOfAssets),INT(INDEX(tblAssetMenuSpecs[Is Corporate Bond Non-Financial],1):(INDEX(tblAssetMenuSpecs[Is Corporate Bond Non-Financial],NumberOfAssets))))</f>
        <v>0</v>
      </c>
      <c r="AD143" s="280">
        <f>MMULT(INDEX(ReportAssetWeightsAdverse,ROW()-ROW(AD$135),1):INDEX(ReportAssetWeightsAdverse,ROW()-ROW(AD$135),NumberOfAssets),INT(INDEX(tblAssetMenuSpecs[Is Corporate Bond Financial],1):(INDEX(tblAssetMenuSpecs[Is Corporate Bond Financial],NumberOfAssets))))</f>
        <v>0</v>
      </c>
      <c r="AE143" s="280">
        <f>MMULT(INDEX(ReportAssetWeightsAdverse,ROW()-ROW(AE$135),1):INDEX(ReportAssetWeightsAdverse,ROW()-ROW(AE$135),NumberOfAssets),INT(INDEX(tblAssetMenuSpecs[Is Cash and Deposits],1):(INDEX(tblAssetMenuSpecs[Is Cash and Deposits],NumberOfAssets))))</f>
        <v>1</v>
      </c>
    </row>
    <row r="144" spans="6:31" x14ac:dyDescent="0.25">
      <c r="F144" s="278">
        <f t="shared" si="1"/>
        <v>27</v>
      </c>
      <c r="G144" s="279">
        <f>MMULT(INDEX(ReportAssetWeightsAdverse,ROW()-ROW(G$135),1):INDEX(ReportAssetWeightsAdverse,ROW()-ROW(G$135),NumberOfAssets),INT(INDEX(tblAssetMenuSpecs[IsEquities],1):(INDEX(tblAssetMenuSpecs[IsEquities],NumberOfAssets))))</f>
        <v>0</v>
      </c>
      <c r="H144" s="279">
        <f>MMULT(INDEX(ReportAssetWeightsAdverse,ROW()-ROW(H$135),1):INDEX(ReportAssetWeightsAdverse,ROW()-ROW(H$135),NumberOfAssets),INT(INDEX(tblAssetMenuSpecs[IsRealEstate],1):(INDEX(tblAssetMenuSpecs[IsRealEstate],NumberOfAssets))))</f>
        <v>0</v>
      </c>
      <c r="I144" s="279">
        <f>MMULT(INDEX(ReportAssetWeightsAdverse,ROW()-ROW(I$135),1):INDEX(ReportAssetWeightsAdverse,ROW()-ROW(I$135),NumberOfAssets),INT(INDEX(tblAssetMenuSpecs[IsAlternatives],1):(INDEX(tblAssetMenuSpecs[IsAlternatives],NumberOfAssets))))</f>
        <v>0</v>
      </c>
      <c r="J144" s="279">
        <f>MMULT(INDEX(ReportAssetWeightsAdverse,ROW()-ROW(J$135),1):INDEX(ReportAssetWeightsAdverse,ROW()-ROW(J$135),NumberOfAssets),INT(INDEX(tblAssetMenuSpecs[IsFixedIncome],1):(INDEX(tblAssetMenuSpecs[IsFixedIncome],NumberOfAssets))))</f>
        <v>1</v>
      </c>
      <c r="L144" s="280">
        <f>MMULT(INDEX(ReportAssetWeightsAdverse,ROW()-ROW(L$135),1):INDEX(ReportAssetWeightsAdverse,ROW()-ROW(L$135),NumberOfAssets),INT(INDEX(tblAssetMenuSpecs[Is Equities EU],1):(INDEX(tblAssetMenuSpecs[Is Equities EU],NumberOfAssets))))</f>
        <v>0</v>
      </c>
      <c r="M144" s="280">
        <f>MMULT(INDEX(ReportAssetWeightsAdverse,ROW()-ROW(M$135),1):INDEX(ReportAssetWeightsAdverse,ROW()-ROW(M$135),NumberOfAssets),INT(INDEX(tblAssetMenuSpecs[Is Equities US],1):(INDEX(tblAssetMenuSpecs[Is Equities US],NumberOfAssets))))</f>
        <v>0</v>
      </c>
      <c r="N144" s="280">
        <f>MMULT(INDEX(ReportAssetWeightsAdverse,ROW()-ROW(N$135),1):INDEX(ReportAssetWeightsAdverse,ROW()-ROW(N$135),NumberOfAssets),INT(INDEX(tblAssetMenuSpecs[Is Equities Other Developed Markets],1):(INDEX(tblAssetMenuSpecs[Is Equities Other Developed Markets],NumberOfAssets))))</f>
        <v>0</v>
      </c>
      <c r="O144" s="280">
        <f>MMULT(INDEX(ReportAssetWeightsAdverse,ROW()-ROW(O$135),1):INDEX(ReportAssetWeightsAdverse,ROW()-ROW(O$135),NumberOfAssets),INT(INDEX(tblAssetMenuSpecs[Is Equities Emerging Markets],1):(INDEX(tblAssetMenuSpecs[Is Equities Emerging Markets],NumberOfAssets))))</f>
        <v>0</v>
      </c>
      <c r="P144" s="280">
        <f>MMULT(INDEX(ReportAssetWeightsAdverse,ROW()-ROW(P$135),1):INDEX(ReportAssetWeightsAdverse,ROW()-ROW(P$135),NumberOfAssets),INT(INDEX(tblAssetMenuSpecs[Is Commodities],1):(INDEX(tblAssetMenuSpecs[Is Commodities],NumberOfAssets))))</f>
        <v>0</v>
      </c>
      <c r="Q144" s="280">
        <f>MMULT(INDEX(ReportAssetWeightsAdverse,ROW()-ROW(Q$135),1):INDEX(ReportAssetWeightsAdverse,ROW()-ROW(Q$135),NumberOfAssets),INT(INDEX(tblAssetMenuSpecs[Is Private Equity],1):(INDEX(tblAssetMenuSpecs[Is Private Equity],NumberOfAssets))))</f>
        <v>0</v>
      </c>
      <c r="R144" s="280">
        <f>MMULT(INDEX(ReportAssetWeightsAdverse,ROW()-ROW(R$135),1):INDEX(ReportAssetWeightsAdverse,ROW()-ROW(R$135),NumberOfAssets),INT(INDEX(tblAssetMenuSpecs[Is Hedge Funds],1):(INDEX(tblAssetMenuSpecs[Is Hedge Funds],NumberOfAssets))))</f>
        <v>0</v>
      </c>
      <c r="S144" s="280">
        <f>MMULT(INDEX(ReportAssetWeightsAdverse,ROW()-ROW(S$135),1):INDEX(ReportAssetWeightsAdverse,ROW()-ROW(S$135),NumberOfAssets),INT(INDEX(tblAssetMenuSpecs[Is Real Estate EU],1):(INDEX(tblAssetMenuSpecs[Is Real Estate EU],NumberOfAssets))))</f>
        <v>0</v>
      </c>
      <c r="T144" s="280">
        <f>MMULT(INDEX(ReportAssetWeightsAdverse,ROW()-ROW(T$135),1):INDEX(ReportAssetWeightsAdverse,ROW()-ROW(T$135),NumberOfAssets),INT(INDEX(tblAssetMenuSpecs[Is Real Estate US],1):(INDEX(tblAssetMenuSpecs[Is Real Estate US],NumberOfAssets))))</f>
        <v>0</v>
      </c>
      <c r="U144" s="280">
        <f>MMULT(INDEX(ReportAssetWeightsAdverse,ROW()-ROW(U$135),1):INDEX(ReportAssetWeightsAdverse,ROW()-ROW(U$135),NumberOfAssets),INT(INDEX(tblAssetMenuSpecs[Is Real Estate Other Developed Markets],1):(INDEX(tblAssetMenuSpecs[Is Real Estate Other Developed Markets],NumberOfAssets))))</f>
        <v>0</v>
      </c>
      <c r="V144" s="280">
        <f>MMULT(INDEX(ReportAssetWeightsAdverse,ROW()-ROW(V$135),1):INDEX(ReportAssetWeightsAdverse,ROW()-ROW(V$135),NumberOfAssets),INT(INDEX(tblAssetMenuSpecs[Is Real Estate Commercial EU (non-leveraged)],1):(INDEX(tblAssetMenuSpecs[Is Real Estate Commercial EU (non-leveraged)],NumberOfAssets))))</f>
        <v>0</v>
      </c>
      <c r="W144" s="280">
        <f>MMULT(INDEX(ReportAssetWeightsAdverse,ROW()-ROW(W$135),1):INDEX(ReportAssetWeightsAdverse,ROW()-ROW(W$135),NumberOfAssets),INT(INDEX(tblAssetMenuSpecs[Is Real Estate Residential EU (non-leveraged)],1):(INDEX(tblAssetMenuSpecs[Is Real Estate Residential EU (non-leveraged)],NumberOfAssets))))</f>
        <v>0</v>
      </c>
      <c r="X144" s="280">
        <f>MMULT(INDEX(ReportAssetWeightsAdverse,ROW()-ROW(X$135),1):INDEX(ReportAssetWeightsAdverse,ROW()-ROW(X$135),NumberOfAssets),INT(INDEX(tblAssetMenuSpecs[Is Government Bond EU],1):(INDEX(tblAssetMenuSpecs[Is Government Bond EU],NumberOfAssets))))</f>
        <v>0</v>
      </c>
      <c r="Y144" s="280">
        <f>MMULT(INDEX(ReportAssetWeightsAdverse,ROW()-ROW(Y$135),1):INDEX(ReportAssetWeightsAdverse,ROW()-ROW(Y$135),NumberOfAssets),INT(INDEX(tblAssetMenuSpecs[Is Government Bond US],1):(INDEX(tblAssetMenuSpecs[Is Government Bond US],NumberOfAssets))))</f>
        <v>0</v>
      </c>
      <c r="Z144" s="280">
        <f>MMULT(INDEX(ReportAssetWeightsAdverse,ROW()-ROW(Z$135),1):INDEX(ReportAssetWeightsAdverse,ROW()-ROW(Z$135),NumberOfAssets),INT(INDEX(tblAssetMenuSpecs[Is Government Bond Other Developed Markets],1):(INDEX(tblAssetMenuSpecs[Is Government Bond Other Developed Markets],NumberOfAssets))))</f>
        <v>0</v>
      </c>
      <c r="AA144" s="280">
        <f>MMULT(INDEX(ReportAssetWeightsAdverse,ROW()-ROW(AA$135),1):INDEX(ReportAssetWeightsAdverse,ROW()-ROW(AA$135),NumberOfAssets),INT(INDEX(tblAssetMenuSpecs[Is Government Bond Emerging Markets],1):(INDEX(tblAssetMenuSpecs[Is Government Bond Emerging Markets],NumberOfAssets))))</f>
        <v>0</v>
      </c>
      <c r="AB144" s="280">
        <f>MMULT(INDEX(ReportAssetWeightsAdverse,ROW()-ROW(AB$135),1):INDEX(ReportAssetWeightsAdverse,ROW()-ROW(AB$135),NumberOfAssets),INT(INDEX(tblAssetMenuSpecs[Is Corporate Bond],1):(INDEX(tblAssetMenuSpecs[Is Corporate Bond],NumberOfAssets))))</f>
        <v>0</v>
      </c>
      <c r="AC144" s="280">
        <f>MMULT(INDEX(ReportAssetWeightsAdverse,ROW()-ROW(AC$135),1):INDEX(ReportAssetWeightsAdverse,ROW()-ROW(AC$135),NumberOfAssets),INT(INDEX(tblAssetMenuSpecs[Is Corporate Bond Non-Financial],1):(INDEX(tblAssetMenuSpecs[Is Corporate Bond Non-Financial],NumberOfAssets))))</f>
        <v>0</v>
      </c>
      <c r="AD144" s="280">
        <f>MMULT(INDEX(ReportAssetWeightsAdverse,ROW()-ROW(AD$135),1):INDEX(ReportAssetWeightsAdverse,ROW()-ROW(AD$135),NumberOfAssets),INT(INDEX(tblAssetMenuSpecs[Is Corporate Bond Financial],1):(INDEX(tblAssetMenuSpecs[Is Corporate Bond Financial],NumberOfAssets))))</f>
        <v>0</v>
      </c>
      <c r="AE144" s="280">
        <f>MMULT(INDEX(ReportAssetWeightsAdverse,ROW()-ROW(AE$135),1):INDEX(ReportAssetWeightsAdverse,ROW()-ROW(AE$135),NumberOfAssets),INT(INDEX(tblAssetMenuSpecs[Is Cash and Deposits],1):(INDEX(tblAssetMenuSpecs[Is Cash and Deposits],NumberOfAssets))))</f>
        <v>1</v>
      </c>
    </row>
    <row r="145" spans="6:31" x14ac:dyDescent="0.25">
      <c r="F145" s="278">
        <f t="shared" si="1"/>
        <v>26</v>
      </c>
      <c r="G145" s="279">
        <f>MMULT(INDEX(ReportAssetWeightsAdverse,ROW()-ROW(G$135),1):INDEX(ReportAssetWeightsAdverse,ROW()-ROW(G$135),NumberOfAssets),INT(INDEX(tblAssetMenuSpecs[IsEquities],1):(INDEX(tblAssetMenuSpecs[IsEquities],NumberOfAssets))))</f>
        <v>0</v>
      </c>
      <c r="H145" s="279">
        <f>MMULT(INDEX(ReportAssetWeightsAdverse,ROW()-ROW(H$135),1):INDEX(ReportAssetWeightsAdverse,ROW()-ROW(H$135),NumberOfAssets),INT(INDEX(tblAssetMenuSpecs[IsRealEstate],1):(INDEX(tblAssetMenuSpecs[IsRealEstate],NumberOfAssets))))</f>
        <v>0</v>
      </c>
      <c r="I145" s="279">
        <f>MMULT(INDEX(ReportAssetWeightsAdverse,ROW()-ROW(I$135),1):INDEX(ReportAssetWeightsAdverse,ROW()-ROW(I$135),NumberOfAssets),INT(INDEX(tblAssetMenuSpecs[IsAlternatives],1):(INDEX(tblAssetMenuSpecs[IsAlternatives],NumberOfAssets))))</f>
        <v>0</v>
      </c>
      <c r="J145" s="279">
        <f>MMULT(INDEX(ReportAssetWeightsAdverse,ROW()-ROW(J$135),1):INDEX(ReportAssetWeightsAdverse,ROW()-ROW(J$135),NumberOfAssets),INT(INDEX(tblAssetMenuSpecs[IsFixedIncome],1):(INDEX(tblAssetMenuSpecs[IsFixedIncome],NumberOfAssets))))</f>
        <v>1</v>
      </c>
      <c r="L145" s="280">
        <f>MMULT(INDEX(ReportAssetWeightsAdverse,ROW()-ROW(L$135),1):INDEX(ReportAssetWeightsAdverse,ROW()-ROW(L$135),NumberOfAssets),INT(INDEX(tblAssetMenuSpecs[Is Equities EU],1):(INDEX(tblAssetMenuSpecs[Is Equities EU],NumberOfAssets))))</f>
        <v>0</v>
      </c>
      <c r="M145" s="280">
        <f>MMULT(INDEX(ReportAssetWeightsAdverse,ROW()-ROW(M$135),1):INDEX(ReportAssetWeightsAdverse,ROW()-ROW(M$135),NumberOfAssets),INT(INDEX(tblAssetMenuSpecs[Is Equities US],1):(INDEX(tblAssetMenuSpecs[Is Equities US],NumberOfAssets))))</f>
        <v>0</v>
      </c>
      <c r="N145" s="280">
        <f>MMULT(INDEX(ReportAssetWeightsAdverse,ROW()-ROW(N$135),1):INDEX(ReportAssetWeightsAdverse,ROW()-ROW(N$135),NumberOfAssets),INT(INDEX(tblAssetMenuSpecs[Is Equities Other Developed Markets],1):(INDEX(tblAssetMenuSpecs[Is Equities Other Developed Markets],NumberOfAssets))))</f>
        <v>0</v>
      </c>
      <c r="O145" s="280">
        <f>MMULT(INDEX(ReportAssetWeightsAdverse,ROW()-ROW(O$135),1):INDEX(ReportAssetWeightsAdverse,ROW()-ROW(O$135),NumberOfAssets),INT(INDEX(tblAssetMenuSpecs[Is Equities Emerging Markets],1):(INDEX(tblAssetMenuSpecs[Is Equities Emerging Markets],NumberOfAssets))))</f>
        <v>0</v>
      </c>
      <c r="P145" s="280">
        <f>MMULT(INDEX(ReportAssetWeightsAdverse,ROW()-ROW(P$135),1):INDEX(ReportAssetWeightsAdverse,ROW()-ROW(P$135),NumberOfAssets),INT(INDEX(tblAssetMenuSpecs[Is Commodities],1):(INDEX(tblAssetMenuSpecs[Is Commodities],NumberOfAssets))))</f>
        <v>0</v>
      </c>
      <c r="Q145" s="280">
        <f>MMULT(INDEX(ReportAssetWeightsAdverse,ROW()-ROW(Q$135),1):INDEX(ReportAssetWeightsAdverse,ROW()-ROW(Q$135),NumberOfAssets),INT(INDEX(tblAssetMenuSpecs[Is Private Equity],1):(INDEX(tblAssetMenuSpecs[Is Private Equity],NumberOfAssets))))</f>
        <v>0</v>
      </c>
      <c r="R145" s="280">
        <f>MMULT(INDEX(ReportAssetWeightsAdverse,ROW()-ROW(R$135),1):INDEX(ReportAssetWeightsAdverse,ROW()-ROW(R$135),NumberOfAssets),INT(INDEX(tblAssetMenuSpecs[Is Hedge Funds],1):(INDEX(tblAssetMenuSpecs[Is Hedge Funds],NumberOfAssets))))</f>
        <v>0</v>
      </c>
      <c r="S145" s="280">
        <f>MMULT(INDEX(ReportAssetWeightsAdverse,ROW()-ROW(S$135),1):INDEX(ReportAssetWeightsAdverse,ROW()-ROW(S$135),NumberOfAssets),INT(INDEX(tblAssetMenuSpecs[Is Real Estate EU],1):(INDEX(tblAssetMenuSpecs[Is Real Estate EU],NumberOfAssets))))</f>
        <v>0</v>
      </c>
      <c r="T145" s="280">
        <f>MMULT(INDEX(ReportAssetWeightsAdverse,ROW()-ROW(T$135),1):INDEX(ReportAssetWeightsAdverse,ROW()-ROW(T$135),NumberOfAssets),INT(INDEX(tblAssetMenuSpecs[Is Real Estate US],1):(INDEX(tblAssetMenuSpecs[Is Real Estate US],NumberOfAssets))))</f>
        <v>0</v>
      </c>
      <c r="U145" s="280">
        <f>MMULT(INDEX(ReportAssetWeightsAdverse,ROW()-ROW(U$135),1):INDEX(ReportAssetWeightsAdverse,ROW()-ROW(U$135),NumberOfAssets),INT(INDEX(tblAssetMenuSpecs[Is Real Estate Other Developed Markets],1):(INDEX(tblAssetMenuSpecs[Is Real Estate Other Developed Markets],NumberOfAssets))))</f>
        <v>0</v>
      </c>
      <c r="V145" s="280">
        <f>MMULT(INDEX(ReportAssetWeightsAdverse,ROW()-ROW(V$135),1):INDEX(ReportAssetWeightsAdverse,ROW()-ROW(V$135),NumberOfAssets),INT(INDEX(tblAssetMenuSpecs[Is Real Estate Commercial EU (non-leveraged)],1):(INDEX(tblAssetMenuSpecs[Is Real Estate Commercial EU (non-leveraged)],NumberOfAssets))))</f>
        <v>0</v>
      </c>
      <c r="W145" s="280">
        <f>MMULT(INDEX(ReportAssetWeightsAdverse,ROW()-ROW(W$135),1):INDEX(ReportAssetWeightsAdverse,ROW()-ROW(W$135),NumberOfAssets),INT(INDEX(tblAssetMenuSpecs[Is Real Estate Residential EU (non-leveraged)],1):(INDEX(tblAssetMenuSpecs[Is Real Estate Residential EU (non-leveraged)],NumberOfAssets))))</f>
        <v>0</v>
      </c>
      <c r="X145" s="280">
        <f>MMULT(INDEX(ReportAssetWeightsAdverse,ROW()-ROW(X$135),1):INDEX(ReportAssetWeightsAdverse,ROW()-ROW(X$135),NumberOfAssets),INT(INDEX(tblAssetMenuSpecs[Is Government Bond EU],1):(INDEX(tblAssetMenuSpecs[Is Government Bond EU],NumberOfAssets))))</f>
        <v>0</v>
      </c>
      <c r="Y145" s="280">
        <f>MMULT(INDEX(ReportAssetWeightsAdverse,ROW()-ROW(Y$135),1):INDEX(ReportAssetWeightsAdverse,ROW()-ROW(Y$135),NumberOfAssets),INT(INDEX(tblAssetMenuSpecs[Is Government Bond US],1):(INDEX(tblAssetMenuSpecs[Is Government Bond US],NumberOfAssets))))</f>
        <v>0</v>
      </c>
      <c r="Z145" s="280">
        <f>MMULT(INDEX(ReportAssetWeightsAdverse,ROW()-ROW(Z$135),1):INDEX(ReportAssetWeightsAdverse,ROW()-ROW(Z$135),NumberOfAssets),INT(INDEX(tblAssetMenuSpecs[Is Government Bond Other Developed Markets],1):(INDEX(tblAssetMenuSpecs[Is Government Bond Other Developed Markets],NumberOfAssets))))</f>
        <v>0</v>
      </c>
      <c r="AA145" s="280">
        <f>MMULT(INDEX(ReportAssetWeightsAdverse,ROW()-ROW(AA$135),1):INDEX(ReportAssetWeightsAdverse,ROW()-ROW(AA$135),NumberOfAssets),INT(INDEX(tblAssetMenuSpecs[Is Government Bond Emerging Markets],1):(INDEX(tblAssetMenuSpecs[Is Government Bond Emerging Markets],NumberOfAssets))))</f>
        <v>0</v>
      </c>
      <c r="AB145" s="280">
        <f>MMULT(INDEX(ReportAssetWeightsAdverse,ROW()-ROW(AB$135),1):INDEX(ReportAssetWeightsAdverse,ROW()-ROW(AB$135),NumberOfAssets),INT(INDEX(tblAssetMenuSpecs[Is Corporate Bond],1):(INDEX(tblAssetMenuSpecs[Is Corporate Bond],NumberOfAssets))))</f>
        <v>0</v>
      </c>
      <c r="AC145" s="280">
        <f>MMULT(INDEX(ReportAssetWeightsAdverse,ROW()-ROW(AC$135),1):INDEX(ReportAssetWeightsAdverse,ROW()-ROW(AC$135),NumberOfAssets),INT(INDEX(tblAssetMenuSpecs[Is Corporate Bond Non-Financial],1):(INDEX(tblAssetMenuSpecs[Is Corporate Bond Non-Financial],NumberOfAssets))))</f>
        <v>0</v>
      </c>
      <c r="AD145" s="280">
        <f>MMULT(INDEX(ReportAssetWeightsAdverse,ROW()-ROW(AD$135),1):INDEX(ReportAssetWeightsAdverse,ROW()-ROW(AD$135),NumberOfAssets),INT(INDEX(tblAssetMenuSpecs[Is Corporate Bond Financial],1):(INDEX(tblAssetMenuSpecs[Is Corporate Bond Financial],NumberOfAssets))))</f>
        <v>0</v>
      </c>
      <c r="AE145" s="280">
        <f>MMULT(INDEX(ReportAssetWeightsAdverse,ROW()-ROW(AE$135),1):INDEX(ReportAssetWeightsAdverse,ROW()-ROW(AE$135),NumberOfAssets),INT(INDEX(tblAssetMenuSpecs[Is Cash and Deposits],1):(INDEX(tblAssetMenuSpecs[Is Cash and Deposits],NumberOfAssets))))</f>
        <v>1</v>
      </c>
    </row>
    <row r="146" spans="6:31" x14ac:dyDescent="0.25">
      <c r="F146" s="278">
        <f t="shared" si="1"/>
        <v>25</v>
      </c>
      <c r="G146" s="279">
        <f>MMULT(INDEX(ReportAssetWeightsAdverse,ROW()-ROW(G$135),1):INDEX(ReportAssetWeightsAdverse,ROW()-ROW(G$135),NumberOfAssets),INT(INDEX(tblAssetMenuSpecs[IsEquities],1):(INDEX(tblAssetMenuSpecs[IsEquities],NumberOfAssets))))</f>
        <v>0</v>
      </c>
      <c r="H146" s="279">
        <f>MMULT(INDEX(ReportAssetWeightsAdverse,ROW()-ROW(H$135),1):INDEX(ReportAssetWeightsAdverse,ROW()-ROW(H$135),NumberOfAssets),INT(INDEX(tblAssetMenuSpecs[IsRealEstate],1):(INDEX(tblAssetMenuSpecs[IsRealEstate],NumberOfAssets))))</f>
        <v>0</v>
      </c>
      <c r="I146" s="279">
        <f>MMULT(INDEX(ReportAssetWeightsAdverse,ROW()-ROW(I$135),1):INDEX(ReportAssetWeightsAdverse,ROW()-ROW(I$135),NumberOfAssets),INT(INDEX(tblAssetMenuSpecs[IsAlternatives],1):(INDEX(tblAssetMenuSpecs[IsAlternatives],NumberOfAssets))))</f>
        <v>0</v>
      </c>
      <c r="J146" s="279">
        <f>MMULT(INDEX(ReportAssetWeightsAdverse,ROW()-ROW(J$135),1):INDEX(ReportAssetWeightsAdverse,ROW()-ROW(J$135),NumberOfAssets),INT(INDEX(tblAssetMenuSpecs[IsFixedIncome],1):(INDEX(tblAssetMenuSpecs[IsFixedIncome],NumberOfAssets))))</f>
        <v>1</v>
      </c>
      <c r="L146" s="280">
        <f>MMULT(INDEX(ReportAssetWeightsAdverse,ROW()-ROW(L$135),1):INDEX(ReportAssetWeightsAdverse,ROW()-ROW(L$135),NumberOfAssets),INT(INDEX(tblAssetMenuSpecs[Is Equities EU],1):(INDEX(tblAssetMenuSpecs[Is Equities EU],NumberOfAssets))))</f>
        <v>0</v>
      </c>
      <c r="M146" s="280">
        <f>MMULT(INDEX(ReportAssetWeightsAdverse,ROW()-ROW(M$135),1):INDEX(ReportAssetWeightsAdverse,ROW()-ROW(M$135),NumberOfAssets),INT(INDEX(tblAssetMenuSpecs[Is Equities US],1):(INDEX(tblAssetMenuSpecs[Is Equities US],NumberOfAssets))))</f>
        <v>0</v>
      </c>
      <c r="N146" s="280">
        <f>MMULT(INDEX(ReportAssetWeightsAdverse,ROW()-ROW(N$135),1):INDEX(ReportAssetWeightsAdverse,ROW()-ROW(N$135),NumberOfAssets),INT(INDEX(tblAssetMenuSpecs[Is Equities Other Developed Markets],1):(INDEX(tblAssetMenuSpecs[Is Equities Other Developed Markets],NumberOfAssets))))</f>
        <v>0</v>
      </c>
      <c r="O146" s="280">
        <f>MMULT(INDEX(ReportAssetWeightsAdverse,ROW()-ROW(O$135),1):INDEX(ReportAssetWeightsAdverse,ROW()-ROW(O$135),NumberOfAssets),INT(INDEX(tblAssetMenuSpecs[Is Equities Emerging Markets],1):(INDEX(tblAssetMenuSpecs[Is Equities Emerging Markets],NumberOfAssets))))</f>
        <v>0</v>
      </c>
      <c r="P146" s="280">
        <f>MMULT(INDEX(ReportAssetWeightsAdverse,ROW()-ROW(P$135),1):INDEX(ReportAssetWeightsAdverse,ROW()-ROW(P$135),NumberOfAssets),INT(INDEX(tblAssetMenuSpecs[Is Commodities],1):(INDEX(tblAssetMenuSpecs[Is Commodities],NumberOfAssets))))</f>
        <v>0</v>
      </c>
      <c r="Q146" s="280">
        <f>MMULT(INDEX(ReportAssetWeightsAdverse,ROW()-ROW(Q$135),1):INDEX(ReportAssetWeightsAdverse,ROW()-ROW(Q$135),NumberOfAssets),INT(INDEX(tblAssetMenuSpecs[Is Private Equity],1):(INDEX(tblAssetMenuSpecs[Is Private Equity],NumberOfAssets))))</f>
        <v>0</v>
      </c>
      <c r="R146" s="280">
        <f>MMULT(INDEX(ReportAssetWeightsAdverse,ROW()-ROW(R$135),1):INDEX(ReportAssetWeightsAdverse,ROW()-ROW(R$135),NumberOfAssets),INT(INDEX(tblAssetMenuSpecs[Is Hedge Funds],1):(INDEX(tblAssetMenuSpecs[Is Hedge Funds],NumberOfAssets))))</f>
        <v>0</v>
      </c>
      <c r="S146" s="280">
        <f>MMULT(INDEX(ReportAssetWeightsAdverse,ROW()-ROW(S$135),1):INDEX(ReportAssetWeightsAdverse,ROW()-ROW(S$135),NumberOfAssets),INT(INDEX(tblAssetMenuSpecs[Is Real Estate EU],1):(INDEX(tblAssetMenuSpecs[Is Real Estate EU],NumberOfAssets))))</f>
        <v>0</v>
      </c>
      <c r="T146" s="280">
        <f>MMULT(INDEX(ReportAssetWeightsAdverse,ROW()-ROW(T$135),1):INDEX(ReportAssetWeightsAdverse,ROW()-ROW(T$135),NumberOfAssets),INT(INDEX(tblAssetMenuSpecs[Is Real Estate US],1):(INDEX(tblAssetMenuSpecs[Is Real Estate US],NumberOfAssets))))</f>
        <v>0</v>
      </c>
      <c r="U146" s="280">
        <f>MMULT(INDEX(ReportAssetWeightsAdverse,ROW()-ROW(U$135),1):INDEX(ReportAssetWeightsAdverse,ROW()-ROW(U$135),NumberOfAssets),INT(INDEX(tblAssetMenuSpecs[Is Real Estate Other Developed Markets],1):(INDEX(tblAssetMenuSpecs[Is Real Estate Other Developed Markets],NumberOfAssets))))</f>
        <v>0</v>
      </c>
      <c r="V146" s="280">
        <f>MMULT(INDEX(ReportAssetWeightsAdverse,ROW()-ROW(V$135),1):INDEX(ReportAssetWeightsAdverse,ROW()-ROW(V$135),NumberOfAssets),INT(INDEX(tblAssetMenuSpecs[Is Real Estate Commercial EU (non-leveraged)],1):(INDEX(tblAssetMenuSpecs[Is Real Estate Commercial EU (non-leveraged)],NumberOfAssets))))</f>
        <v>0</v>
      </c>
      <c r="W146" s="280">
        <f>MMULT(INDEX(ReportAssetWeightsAdverse,ROW()-ROW(W$135),1):INDEX(ReportAssetWeightsAdverse,ROW()-ROW(W$135),NumberOfAssets),INT(INDEX(tblAssetMenuSpecs[Is Real Estate Residential EU (non-leveraged)],1):(INDEX(tblAssetMenuSpecs[Is Real Estate Residential EU (non-leveraged)],NumberOfAssets))))</f>
        <v>0</v>
      </c>
      <c r="X146" s="280">
        <f>MMULT(INDEX(ReportAssetWeightsAdverse,ROW()-ROW(X$135),1):INDEX(ReportAssetWeightsAdverse,ROW()-ROW(X$135),NumberOfAssets),INT(INDEX(tblAssetMenuSpecs[Is Government Bond EU],1):(INDEX(tblAssetMenuSpecs[Is Government Bond EU],NumberOfAssets))))</f>
        <v>0</v>
      </c>
      <c r="Y146" s="280">
        <f>MMULT(INDEX(ReportAssetWeightsAdverse,ROW()-ROW(Y$135),1):INDEX(ReportAssetWeightsAdverse,ROW()-ROW(Y$135),NumberOfAssets),INT(INDEX(tblAssetMenuSpecs[Is Government Bond US],1):(INDEX(tblAssetMenuSpecs[Is Government Bond US],NumberOfAssets))))</f>
        <v>0</v>
      </c>
      <c r="Z146" s="280">
        <f>MMULT(INDEX(ReportAssetWeightsAdverse,ROW()-ROW(Z$135),1):INDEX(ReportAssetWeightsAdverse,ROW()-ROW(Z$135),NumberOfAssets),INT(INDEX(tblAssetMenuSpecs[Is Government Bond Other Developed Markets],1):(INDEX(tblAssetMenuSpecs[Is Government Bond Other Developed Markets],NumberOfAssets))))</f>
        <v>0</v>
      </c>
      <c r="AA146" s="280">
        <f>MMULT(INDEX(ReportAssetWeightsAdverse,ROW()-ROW(AA$135),1):INDEX(ReportAssetWeightsAdverse,ROW()-ROW(AA$135),NumberOfAssets),INT(INDEX(tblAssetMenuSpecs[Is Government Bond Emerging Markets],1):(INDEX(tblAssetMenuSpecs[Is Government Bond Emerging Markets],NumberOfAssets))))</f>
        <v>0</v>
      </c>
      <c r="AB146" s="280">
        <f>MMULT(INDEX(ReportAssetWeightsAdverse,ROW()-ROW(AB$135),1):INDEX(ReportAssetWeightsAdverse,ROW()-ROW(AB$135),NumberOfAssets),INT(INDEX(tblAssetMenuSpecs[Is Corporate Bond],1):(INDEX(tblAssetMenuSpecs[Is Corporate Bond],NumberOfAssets))))</f>
        <v>0</v>
      </c>
      <c r="AC146" s="280">
        <f>MMULT(INDEX(ReportAssetWeightsAdverse,ROW()-ROW(AC$135),1):INDEX(ReportAssetWeightsAdverse,ROW()-ROW(AC$135),NumberOfAssets),INT(INDEX(tblAssetMenuSpecs[Is Corporate Bond Non-Financial],1):(INDEX(tblAssetMenuSpecs[Is Corporate Bond Non-Financial],NumberOfAssets))))</f>
        <v>0</v>
      </c>
      <c r="AD146" s="280">
        <f>MMULT(INDEX(ReportAssetWeightsAdverse,ROW()-ROW(AD$135),1):INDEX(ReportAssetWeightsAdverse,ROW()-ROW(AD$135),NumberOfAssets),INT(INDEX(tblAssetMenuSpecs[Is Corporate Bond Financial],1):(INDEX(tblAssetMenuSpecs[Is Corporate Bond Financial],NumberOfAssets))))</f>
        <v>0</v>
      </c>
      <c r="AE146" s="280">
        <f>MMULT(INDEX(ReportAssetWeightsAdverse,ROW()-ROW(AE$135),1):INDEX(ReportAssetWeightsAdverse,ROW()-ROW(AE$135),NumberOfAssets),INT(INDEX(tblAssetMenuSpecs[Is Cash and Deposits],1):(INDEX(tblAssetMenuSpecs[Is Cash and Deposits],NumberOfAssets))))</f>
        <v>1</v>
      </c>
    </row>
    <row r="147" spans="6:31" x14ac:dyDescent="0.25">
      <c r="F147" s="278">
        <f t="shared" si="1"/>
        <v>24</v>
      </c>
      <c r="G147" s="279">
        <f>MMULT(INDEX(ReportAssetWeightsAdverse,ROW()-ROW(G$135),1):INDEX(ReportAssetWeightsAdverse,ROW()-ROW(G$135),NumberOfAssets),INT(INDEX(tblAssetMenuSpecs[IsEquities],1):(INDEX(tblAssetMenuSpecs[IsEquities],NumberOfAssets))))</f>
        <v>0</v>
      </c>
      <c r="H147" s="279">
        <f>MMULT(INDEX(ReportAssetWeightsAdverse,ROW()-ROW(H$135),1):INDEX(ReportAssetWeightsAdverse,ROW()-ROW(H$135),NumberOfAssets),INT(INDEX(tblAssetMenuSpecs[IsRealEstate],1):(INDEX(tblAssetMenuSpecs[IsRealEstate],NumberOfAssets))))</f>
        <v>0</v>
      </c>
      <c r="I147" s="279">
        <f>MMULT(INDEX(ReportAssetWeightsAdverse,ROW()-ROW(I$135),1):INDEX(ReportAssetWeightsAdverse,ROW()-ROW(I$135),NumberOfAssets),INT(INDEX(tblAssetMenuSpecs[IsAlternatives],1):(INDEX(tblAssetMenuSpecs[IsAlternatives],NumberOfAssets))))</f>
        <v>0</v>
      </c>
      <c r="J147" s="279">
        <f>MMULT(INDEX(ReportAssetWeightsAdverse,ROW()-ROW(J$135),1):INDEX(ReportAssetWeightsAdverse,ROW()-ROW(J$135),NumberOfAssets),INT(INDEX(tblAssetMenuSpecs[IsFixedIncome],1):(INDEX(tblAssetMenuSpecs[IsFixedIncome],NumberOfAssets))))</f>
        <v>1</v>
      </c>
      <c r="L147" s="280">
        <f>MMULT(INDEX(ReportAssetWeightsAdverse,ROW()-ROW(L$135),1):INDEX(ReportAssetWeightsAdverse,ROW()-ROW(L$135),NumberOfAssets),INT(INDEX(tblAssetMenuSpecs[Is Equities EU],1):(INDEX(tblAssetMenuSpecs[Is Equities EU],NumberOfAssets))))</f>
        <v>0</v>
      </c>
      <c r="M147" s="280">
        <f>MMULT(INDEX(ReportAssetWeightsAdverse,ROW()-ROW(M$135),1):INDEX(ReportAssetWeightsAdverse,ROW()-ROW(M$135),NumberOfAssets),INT(INDEX(tblAssetMenuSpecs[Is Equities US],1):(INDEX(tblAssetMenuSpecs[Is Equities US],NumberOfAssets))))</f>
        <v>0</v>
      </c>
      <c r="N147" s="280">
        <f>MMULT(INDEX(ReportAssetWeightsAdverse,ROW()-ROW(N$135),1):INDEX(ReportAssetWeightsAdverse,ROW()-ROW(N$135),NumberOfAssets),INT(INDEX(tblAssetMenuSpecs[Is Equities Other Developed Markets],1):(INDEX(tblAssetMenuSpecs[Is Equities Other Developed Markets],NumberOfAssets))))</f>
        <v>0</v>
      </c>
      <c r="O147" s="280">
        <f>MMULT(INDEX(ReportAssetWeightsAdverse,ROW()-ROW(O$135),1):INDEX(ReportAssetWeightsAdverse,ROW()-ROW(O$135),NumberOfAssets),INT(INDEX(tblAssetMenuSpecs[Is Equities Emerging Markets],1):(INDEX(tblAssetMenuSpecs[Is Equities Emerging Markets],NumberOfAssets))))</f>
        <v>0</v>
      </c>
      <c r="P147" s="280">
        <f>MMULT(INDEX(ReportAssetWeightsAdverse,ROW()-ROW(P$135),1):INDEX(ReportAssetWeightsAdverse,ROW()-ROW(P$135),NumberOfAssets),INT(INDEX(tblAssetMenuSpecs[Is Commodities],1):(INDEX(tblAssetMenuSpecs[Is Commodities],NumberOfAssets))))</f>
        <v>0</v>
      </c>
      <c r="Q147" s="280">
        <f>MMULT(INDEX(ReportAssetWeightsAdverse,ROW()-ROW(Q$135),1):INDEX(ReportAssetWeightsAdverse,ROW()-ROW(Q$135),NumberOfAssets),INT(INDEX(tblAssetMenuSpecs[Is Private Equity],1):(INDEX(tblAssetMenuSpecs[Is Private Equity],NumberOfAssets))))</f>
        <v>0</v>
      </c>
      <c r="R147" s="280">
        <f>MMULT(INDEX(ReportAssetWeightsAdverse,ROW()-ROW(R$135),1):INDEX(ReportAssetWeightsAdverse,ROW()-ROW(R$135),NumberOfAssets),INT(INDEX(tblAssetMenuSpecs[Is Hedge Funds],1):(INDEX(tblAssetMenuSpecs[Is Hedge Funds],NumberOfAssets))))</f>
        <v>0</v>
      </c>
      <c r="S147" s="280">
        <f>MMULT(INDEX(ReportAssetWeightsAdverse,ROW()-ROW(S$135),1):INDEX(ReportAssetWeightsAdverse,ROW()-ROW(S$135),NumberOfAssets),INT(INDEX(tblAssetMenuSpecs[Is Real Estate EU],1):(INDEX(tblAssetMenuSpecs[Is Real Estate EU],NumberOfAssets))))</f>
        <v>0</v>
      </c>
      <c r="T147" s="280">
        <f>MMULT(INDEX(ReportAssetWeightsAdverse,ROW()-ROW(T$135),1):INDEX(ReportAssetWeightsAdverse,ROW()-ROW(T$135),NumberOfAssets),INT(INDEX(tblAssetMenuSpecs[Is Real Estate US],1):(INDEX(tblAssetMenuSpecs[Is Real Estate US],NumberOfAssets))))</f>
        <v>0</v>
      </c>
      <c r="U147" s="280">
        <f>MMULT(INDEX(ReportAssetWeightsAdverse,ROW()-ROW(U$135),1):INDEX(ReportAssetWeightsAdverse,ROW()-ROW(U$135),NumberOfAssets),INT(INDEX(tblAssetMenuSpecs[Is Real Estate Other Developed Markets],1):(INDEX(tblAssetMenuSpecs[Is Real Estate Other Developed Markets],NumberOfAssets))))</f>
        <v>0</v>
      </c>
      <c r="V147" s="280">
        <f>MMULT(INDEX(ReportAssetWeightsAdverse,ROW()-ROW(V$135),1):INDEX(ReportAssetWeightsAdverse,ROW()-ROW(V$135),NumberOfAssets),INT(INDEX(tblAssetMenuSpecs[Is Real Estate Commercial EU (non-leveraged)],1):(INDEX(tblAssetMenuSpecs[Is Real Estate Commercial EU (non-leveraged)],NumberOfAssets))))</f>
        <v>0</v>
      </c>
      <c r="W147" s="280">
        <f>MMULT(INDEX(ReportAssetWeightsAdverse,ROW()-ROW(W$135),1):INDEX(ReportAssetWeightsAdverse,ROW()-ROW(W$135),NumberOfAssets),INT(INDEX(tblAssetMenuSpecs[Is Real Estate Residential EU (non-leveraged)],1):(INDEX(tblAssetMenuSpecs[Is Real Estate Residential EU (non-leveraged)],NumberOfAssets))))</f>
        <v>0</v>
      </c>
      <c r="X147" s="280">
        <f>MMULT(INDEX(ReportAssetWeightsAdverse,ROW()-ROW(X$135),1):INDEX(ReportAssetWeightsAdverse,ROW()-ROW(X$135),NumberOfAssets),INT(INDEX(tblAssetMenuSpecs[Is Government Bond EU],1):(INDEX(tblAssetMenuSpecs[Is Government Bond EU],NumberOfAssets))))</f>
        <v>0</v>
      </c>
      <c r="Y147" s="280">
        <f>MMULT(INDEX(ReportAssetWeightsAdverse,ROW()-ROW(Y$135),1):INDEX(ReportAssetWeightsAdverse,ROW()-ROW(Y$135),NumberOfAssets),INT(INDEX(tblAssetMenuSpecs[Is Government Bond US],1):(INDEX(tblAssetMenuSpecs[Is Government Bond US],NumberOfAssets))))</f>
        <v>0</v>
      </c>
      <c r="Z147" s="280">
        <f>MMULT(INDEX(ReportAssetWeightsAdverse,ROW()-ROW(Z$135),1):INDEX(ReportAssetWeightsAdverse,ROW()-ROW(Z$135),NumberOfAssets),INT(INDEX(tblAssetMenuSpecs[Is Government Bond Other Developed Markets],1):(INDEX(tblAssetMenuSpecs[Is Government Bond Other Developed Markets],NumberOfAssets))))</f>
        <v>0</v>
      </c>
      <c r="AA147" s="280">
        <f>MMULT(INDEX(ReportAssetWeightsAdverse,ROW()-ROW(AA$135),1):INDEX(ReportAssetWeightsAdverse,ROW()-ROW(AA$135),NumberOfAssets),INT(INDEX(tblAssetMenuSpecs[Is Government Bond Emerging Markets],1):(INDEX(tblAssetMenuSpecs[Is Government Bond Emerging Markets],NumberOfAssets))))</f>
        <v>0</v>
      </c>
      <c r="AB147" s="280">
        <f>MMULT(INDEX(ReportAssetWeightsAdverse,ROW()-ROW(AB$135),1):INDEX(ReportAssetWeightsAdverse,ROW()-ROW(AB$135),NumberOfAssets),INT(INDEX(tblAssetMenuSpecs[Is Corporate Bond],1):(INDEX(tblAssetMenuSpecs[Is Corporate Bond],NumberOfAssets))))</f>
        <v>0</v>
      </c>
      <c r="AC147" s="280">
        <f>MMULT(INDEX(ReportAssetWeightsAdverse,ROW()-ROW(AC$135),1):INDEX(ReportAssetWeightsAdverse,ROW()-ROW(AC$135),NumberOfAssets),INT(INDEX(tblAssetMenuSpecs[Is Corporate Bond Non-Financial],1):(INDEX(tblAssetMenuSpecs[Is Corporate Bond Non-Financial],NumberOfAssets))))</f>
        <v>0</v>
      </c>
      <c r="AD147" s="280">
        <f>MMULT(INDEX(ReportAssetWeightsAdverse,ROW()-ROW(AD$135),1):INDEX(ReportAssetWeightsAdverse,ROW()-ROW(AD$135),NumberOfAssets),INT(INDEX(tblAssetMenuSpecs[Is Corporate Bond Financial],1):(INDEX(tblAssetMenuSpecs[Is Corporate Bond Financial],NumberOfAssets))))</f>
        <v>0</v>
      </c>
      <c r="AE147" s="280">
        <f>MMULT(INDEX(ReportAssetWeightsAdverse,ROW()-ROW(AE$135),1):INDEX(ReportAssetWeightsAdverse,ROW()-ROW(AE$135),NumberOfAssets),INT(INDEX(tblAssetMenuSpecs[Is Cash and Deposits],1):(INDEX(tblAssetMenuSpecs[Is Cash and Deposits],NumberOfAssets))))</f>
        <v>1</v>
      </c>
    </row>
    <row r="148" spans="6:31" x14ac:dyDescent="0.25">
      <c r="F148" s="278">
        <f t="shared" si="1"/>
        <v>23</v>
      </c>
      <c r="G148" s="279">
        <f>MMULT(INDEX(ReportAssetWeightsAdverse,ROW()-ROW(G$135),1):INDEX(ReportAssetWeightsAdverse,ROW()-ROW(G$135),NumberOfAssets),INT(INDEX(tblAssetMenuSpecs[IsEquities],1):(INDEX(tblAssetMenuSpecs[IsEquities],NumberOfAssets))))</f>
        <v>0</v>
      </c>
      <c r="H148" s="279">
        <f>MMULT(INDEX(ReportAssetWeightsAdverse,ROW()-ROW(H$135),1):INDEX(ReportAssetWeightsAdverse,ROW()-ROW(H$135),NumberOfAssets),INT(INDEX(tblAssetMenuSpecs[IsRealEstate],1):(INDEX(tblAssetMenuSpecs[IsRealEstate],NumberOfAssets))))</f>
        <v>0</v>
      </c>
      <c r="I148" s="279">
        <f>MMULT(INDEX(ReportAssetWeightsAdverse,ROW()-ROW(I$135),1):INDEX(ReportAssetWeightsAdverse,ROW()-ROW(I$135),NumberOfAssets),INT(INDEX(tblAssetMenuSpecs[IsAlternatives],1):(INDEX(tblAssetMenuSpecs[IsAlternatives],NumberOfAssets))))</f>
        <v>0</v>
      </c>
      <c r="J148" s="279">
        <f>MMULT(INDEX(ReportAssetWeightsAdverse,ROW()-ROW(J$135),1):INDEX(ReportAssetWeightsAdverse,ROW()-ROW(J$135),NumberOfAssets),INT(INDEX(tblAssetMenuSpecs[IsFixedIncome],1):(INDEX(tblAssetMenuSpecs[IsFixedIncome],NumberOfAssets))))</f>
        <v>1</v>
      </c>
      <c r="L148" s="280">
        <f>MMULT(INDEX(ReportAssetWeightsAdverse,ROW()-ROW(L$135),1):INDEX(ReportAssetWeightsAdverse,ROW()-ROW(L$135),NumberOfAssets),INT(INDEX(tblAssetMenuSpecs[Is Equities EU],1):(INDEX(tblAssetMenuSpecs[Is Equities EU],NumberOfAssets))))</f>
        <v>0</v>
      </c>
      <c r="M148" s="280">
        <f>MMULT(INDEX(ReportAssetWeightsAdverse,ROW()-ROW(M$135),1):INDEX(ReportAssetWeightsAdverse,ROW()-ROW(M$135),NumberOfAssets),INT(INDEX(tblAssetMenuSpecs[Is Equities US],1):(INDEX(tblAssetMenuSpecs[Is Equities US],NumberOfAssets))))</f>
        <v>0</v>
      </c>
      <c r="N148" s="280">
        <f>MMULT(INDEX(ReportAssetWeightsAdverse,ROW()-ROW(N$135),1):INDEX(ReportAssetWeightsAdverse,ROW()-ROW(N$135),NumberOfAssets),INT(INDEX(tblAssetMenuSpecs[Is Equities Other Developed Markets],1):(INDEX(tblAssetMenuSpecs[Is Equities Other Developed Markets],NumberOfAssets))))</f>
        <v>0</v>
      </c>
      <c r="O148" s="280">
        <f>MMULT(INDEX(ReportAssetWeightsAdverse,ROW()-ROW(O$135),1):INDEX(ReportAssetWeightsAdverse,ROW()-ROW(O$135),NumberOfAssets),INT(INDEX(tblAssetMenuSpecs[Is Equities Emerging Markets],1):(INDEX(tblAssetMenuSpecs[Is Equities Emerging Markets],NumberOfAssets))))</f>
        <v>0</v>
      </c>
      <c r="P148" s="280">
        <f>MMULT(INDEX(ReportAssetWeightsAdverse,ROW()-ROW(P$135),1):INDEX(ReportAssetWeightsAdverse,ROW()-ROW(P$135),NumberOfAssets),INT(INDEX(tblAssetMenuSpecs[Is Commodities],1):(INDEX(tblAssetMenuSpecs[Is Commodities],NumberOfAssets))))</f>
        <v>0</v>
      </c>
      <c r="Q148" s="280">
        <f>MMULT(INDEX(ReportAssetWeightsAdverse,ROW()-ROW(Q$135),1):INDEX(ReportAssetWeightsAdverse,ROW()-ROW(Q$135),NumberOfAssets),INT(INDEX(tblAssetMenuSpecs[Is Private Equity],1):(INDEX(tblAssetMenuSpecs[Is Private Equity],NumberOfAssets))))</f>
        <v>0</v>
      </c>
      <c r="R148" s="280">
        <f>MMULT(INDEX(ReportAssetWeightsAdverse,ROW()-ROW(R$135),1):INDEX(ReportAssetWeightsAdverse,ROW()-ROW(R$135),NumberOfAssets),INT(INDEX(tblAssetMenuSpecs[Is Hedge Funds],1):(INDEX(tblAssetMenuSpecs[Is Hedge Funds],NumberOfAssets))))</f>
        <v>0</v>
      </c>
      <c r="S148" s="280">
        <f>MMULT(INDEX(ReportAssetWeightsAdverse,ROW()-ROW(S$135),1):INDEX(ReportAssetWeightsAdverse,ROW()-ROW(S$135),NumberOfAssets),INT(INDEX(tblAssetMenuSpecs[Is Real Estate EU],1):(INDEX(tblAssetMenuSpecs[Is Real Estate EU],NumberOfAssets))))</f>
        <v>0</v>
      </c>
      <c r="T148" s="280">
        <f>MMULT(INDEX(ReportAssetWeightsAdverse,ROW()-ROW(T$135),1):INDEX(ReportAssetWeightsAdverse,ROW()-ROW(T$135),NumberOfAssets),INT(INDEX(tblAssetMenuSpecs[Is Real Estate US],1):(INDEX(tblAssetMenuSpecs[Is Real Estate US],NumberOfAssets))))</f>
        <v>0</v>
      </c>
      <c r="U148" s="280">
        <f>MMULT(INDEX(ReportAssetWeightsAdverse,ROW()-ROW(U$135),1):INDEX(ReportAssetWeightsAdverse,ROW()-ROW(U$135),NumberOfAssets),INT(INDEX(tblAssetMenuSpecs[Is Real Estate Other Developed Markets],1):(INDEX(tblAssetMenuSpecs[Is Real Estate Other Developed Markets],NumberOfAssets))))</f>
        <v>0</v>
      </c>
      <c r="V148" s="280">
        <f>MMULT(INDEX(ReportAssetWeightsAdverse,ROW()-ROW(V$135),1):INDEX(ReportAssetWeightsAdverse,ROW()-ROW(V$135),NumberOfAssets),INT(INDEX(tblAssetMenuSpecs[Is Real Estate Commercial EU (non-leveraged)],1):(INDEX(tblAssetMenuSpecs[Is Real Estate Commercial EU (non-leveraged)],NumberOfAssets))))</f>
        <v>0</v>
      </c>
      <c r="W148" s="280">
        <f>MMULT(INDEX(ReportAssetWeightsAdverse,ROW()-ROW(W$135),1):INDEX(ReportAssetWeightsAdverse,ROW()-ROW(W$135),NumberOfAssets),INT(INDEX(tblAssetMenuSpecs[Is Real Estate Residential EU (non-leveraged)],1):(INDEX(tblAssetMenuSpecs[Is Real Estate Residential EU (non-leveraged)],NumberOfAssets))))</f>
        <v>0</v>
      </c>
      <c r="X148" s="280">
        <f>MMULT(INDEX(ReportAssetWeightsAdverse,ROW()-ROW(X$135),1):INDEX(ReportAssetWeightsAdverse,ROW()-ROW(X$135),NumberOfAssets),INT(INDEX(tblAssetMenuSpecs[Is Government Bond EU],1):(INDEX(tblAssetMenuSpecs[Is Government Bond EU],NumberOfAssets))))</f>
        <v>0</v>
      </c>
      <c r="Y148" s="280">
        <f>MMULT(INDEX(ReportAssetWeightsAdverse,ROW()-ROW(Y$135),1):INDEX(ReportAssetWeightsAdverse,ROW()-ROW(Y$135),NumberOfAssets),INT(INDEX(tblAssetMenuSpecs[Is Government Bond US],1):(INDEX(tblAssetMenuSpecs[Is Government Bond US],NumberOfAssets))))</f>
        <v>0</v>
      </c>
      <c r="Z148" s="280">
        <f>MMULT(INDEX(ReportAssetWeightsAdverse,ROW()-ROW(Z$135),1):INDEX(ReportAssetWeightsAdverse,ROW()-ROW(Z$135),NumberOfAssets),INT(INDEX(tblAssetMenuSpecs[Is Government Bond Other Developed Markets],1):(INDEX(tblAssetMenuSpecs[Is Government Bond Other Developed Markets],NumberOfAssets))))</f>
        <v>0</v>
      </c>
      <c r="AA148" s="280">
        <f>MMULT(INDEX(ReportAssetWeightsAdverse,ROW()-ROW(AA$135),1):INDEX(ReportAssetWeightsAdverse,ROW()-ROW(AA$135),NumberOfAssets),INT(INDEX(tblAssetMenuSpecs[Is Government Bond Emerging Markets],1):(INDEX(tblAssetMenuSpecs[Is Government Bond Emerging Markets],NumberOfAssets))))</f>
        <v>0</v>
      </c>
      <c r="AB148" s="280">
        <f>MMULT(INDEX(ReportAssetWeightsAdverse,ROW()-ROW(AB$135),1):INDEX(ReportAssetWeightsAdverse,ROW()-ROW(AB$135),NumberOfAssets),INT(INDEX(tblAssetMenuSpecs[Is Corporate Bond],1):(INDEX(tblAssetMenuSpecs[Is Corporate Bond],NumberOfAssets))))</f>
        <v>0</v>
      </c>
      <c r="AC148" s="280">
        <f>MMULT(INDEX(ReportAssetWeightsAdverse,ROW()-ROW(AC$135),1):INDEX(ReportAssetWeightsAdverse,ROW()-ROW(AC$135),NumberOfAssets),INT(INDEX(tblAssetMenuSpecs[Is Corporate Bond Non-Financial],1):(INDEX(tblAssetMenuSpecs[Is Corporate Bond Non-Financial],NumberOfAssets))))</f>
        <v>0</v>
      </c>
      <c r="AD148" s="280">
        <f>MMULT(INDEX(ReportAssetWeightsAdverse,ROW()-ROW(AD$135),1):INDEX(ReportAssetWeightsAdverse,ROW()-ROW(AD$135),NumberOfAssets),INT(INDEX(tblAssetMenuSpecs[Is Corporate Bond Financial],1):(INDEX(tblAssetMenuSpecs[Is Corporate Bond Financial],NumberOfAssets))))</f>
        <v>0</v>
      </c>
      <c r="AE148" s="280">
        <f>MMULT(INDEX(ReportAssetWeightsAdverse,ROW()-ROW(AE$135),1):INDEX(ReportAssetWeightsAdverse,ROW()-ROW(AE$135),NumberOfAssets),INT(INDEX(tblAssetMenuSpecs[Is Cash and Deposits],1):(INDEX(tblAssetMenuSpecs[Is Cash and Deposits],NumberOfAssets))))</f>
        <v>1</v>
      </c>
    </row>
    <row r="149" spans="6:31" x14ac:dyDescent="0.25">
      <c r="F149" s="278">
        <f t="shared" si="1"/>
        <v>22</v>
      </c>
      <c r="G149" s="279">
        <f>MMULT(INDEX(ReportAssetWeightsAdverse,ROW()-ROW(G$135),1):INDEX(ReportAssetWeightsAdverse,ROW()-ROW(G$135),NumberOfAssets),INT(INDEX(tblAssetMenuSpecs[IsEquities],1):(INDEX(tblAssetMenuSpecs[IsEquities],NumberOfAssets))))</f>
        <v>0</v>
      </c>
      <c r="H149" s="279">
        <f>MMULT(INDEX(ReportAssetWeightsAdverse,ROW()-ROW(H$135),1):INDEX(ReportAssetWeightsAdverse,ROW()-ROW(H$135),NumberOfAssets),INT(INDEX(tblAssetMenuSpecs[IsRealEstate],1):(INDEX(tblAssetMenuSpecs[IsRealEstate],NumberOfAssets))))</f>
        <v>0</v>
      </c>
      <c r="I149" s="279">
        <f>MMULT(INDEX(ReportAssetWeightsAdverse,ROW()-ROW(I$135),1):INDEX(ReportAssetWeightsAdverse,ROW()-ROW(I$135),NumberOfAssets),INT(INDEX(tblAssetMenuSpecs[IsAlternatives],1):(INDEX(tblAssetMenuSpecs[IsAlternatives],NumberOfAssets))))</f>
        <v>0</v>
      </c>
      <c r="J149" s="279">
        <f>MMULT(INDEX(ReportAssetWeightsAdverse,ROW()-ROW(J$135),1):INDEX(ReportAssetWeightsAdverse,ROW()-ROW(J$135),NumberOfAssets),INT(INDEX(tblAssetMenuSpecs[IsFixedIncome],1):(INDEX(tblAssetMenuSpecs[IsFixedIncome],NumberOfAssets))))</f>
        <v>1</v>
      </c>
      <c r="L149" s="280">
        <f>MMULT(INDEX(ReportAssetWeightsAdverse,ROW()-ROW(L$135),1):INDEX(ReportAssetWeightsAdverse,ROW()-ROW(L$135),NumberOfAssets),INT(INDEX(tblAssetMenuSpecs[Is Equities EU],1):(INDEX(tblAssetMenuSpecs[Is Equities EU],NumberOfAssets))))</f>
        <v>0</v>
      </c>
      <c r="M149" s="280">
        <f>MMULT(INDEX(ReportAssetWeightsAdverse,ROW()-ROW(M$135),1):INDEX(ReportAssetWeightsAdverse,ROW()-ROW(M$135),NumberOfAssets),INT(INDEX(tblAssetMenuSpecs[Is Equities US],1):(INDEX(tblAssetMenuSpecs[Is Equities US],NumberOfAssets))))</f>
        <v>0</v>
      </c>
      <c r="N149" s="280">
        <f>MMULT(INDEX(ReportAssetWeightsAdverse,ROW()-ROW(N$135),1):INDEX(ReportAssetWeightsAdverse,ROW()-ROW(N$135),NumberOfAssets),INT(INDEX(tblAssetMenuSpecs[Is Equities Other Developed Markets],1):(INDEX(tblAssetMenuSpecs[Is Equities Other Developed Markets],NumberOfAssets))))</f>
        <v>0</v>
      </c>
      <c r="O149" s="280">
        <f>MMULT(INDEX(ReportAssetWeightsAdverse,ROW()-ROW(O$135),1):INDEX(ReportAssetWeightsAdverse,ROW()-ROW(O$135),NumberOfAssets),INT(INDEX(tblAssetMenuSpecs[Is Equities Emerging Markets],1):(INDEX(tblAssetMenuSpecs[Is Equities Emerging Markets],NumberOfAssets))))</f>
        <v>0</v>
      </c>
      <c r="P149" s="280">
        <f>MMULT(INDEX(ReportAssetWeightsAdverse,ROW()-ROW(P$135),1):INDEX(ReportAssetWeightsAdverse,ROW()-ROW(P$135),NumberOfAssets),INT(INDEX(tblAssetMenuSpecs[Is Commodities],1):(INDEX(tblAssetMenuSpecs[Is Commodities],NumberOfAssets))))</f>
        <v>0</v>
      </c>
      <c r="Q149" s="280">
        <f>MMULT(INDEX(ReportAssetWeightsAdverse,ROW()-ROW(Q$135),1):INDEX(ReportAssetWeightsAdverse,ROW()-ROW(Q$135),NumberOfAssets),INT(INDEX(tblAssetMenuSpecs[Is Private Equity],1):(INDEX(tblAssetMenuSpecs[Is Private Equity],NumberOfAssets))))</f>
        <v>0</v>
      </c>
      <c r="R149" s="280">
        <f>MMULT(INDEX(ReportAssetWeightsAdverse,ROW()-ROW(R$135),1):INDEX(ReportAssetWeightsAdverse,ROW()-ROW(R$135),NumberOfAssets),INT(INDEX(tblAssetMenuSpecs[Is Hedge Funds],1):(INDEX(tblAssetMenuSpecs[Is Hedge Funds],NumberOfAssets))))</f>
        <v>0</v>
      </c>
      <c r="S149" s="280">
        <f>MMULT(INDEX(ReportAssetWeightsAdverse,ROW()-ROW(S$135),1):INDEX(ReportAssetWeightsAdverse,ROW()-ROW(S$135),NumberOfAssets),INT(INDEX(tblAssetMenuSpecs[Is Real Estate EU],1):(INDEX(tblAssetMenuSpecs[Is Real Estate EU],NumberOfAssets))))</f>
        <v>0</v>
      </c>
      <c r="T149" s="280">
        <f>MMULT(INDEX(ReportAssetWeightsAdverse,ROW()-ROW(T$135),1):INDEX(ReportAssetWeightsAdverse,ROW()-ROW(T$135),NumberOfAssets),INT(INDEX(tblAssetMenuSpecs[Is Real Estate US],1):(INDEX(tblAssetMenuSpecs[Is Real Estate US],NumberOfAssets))))</f>
        <v>0</v>
      </c>
      <c r="U149" s="280">
        <f>MMULT(INDEX(ReportAssetWeightsAdverse,ROW()-ROW(U$135),1):INDEX(ReportAssetWeightsAdverse,ROW()-ROW(U$135),NumberOfAssets),INT(INDEX(tblAssetMenuSpecs[Is Real Estate Other Developed Markets],1):(INDEX(tblAssetMenuSpecs[Is Real Estate Other Developed Markets],NumberOfAssets))))</f>
        <v>0</v>
      </c>
      <c r="V149" s="280">
        <f>MMULT(INDEX(ReportAssetWeightsAdverse,ROW()-ROW(V$135),1):INDEX(ReportAssetWeightsAdverse,ROW()-ROW(V$135),NumberOfAssets),INT(INDEX(tblAssetMenuSpecs[Is Real Estate Commercial EU (non-leveraged)],1):(INDEX(tblAssetMenuSpecs[Is Real Estate Commercial EU (non-leveraged)],NumberOfAssets))))</f>
        <v>0</v>
      </c>
      <c r="W149" s="280">
        <f>MMULT(INDEX(ReportAssetWeightsAdverse,ROW()-ROW(W$135),1):INDEX(ReportAssetWeightsAdverse,ROW()-ROW(W$135),NumberOfAssets),INT(INDEX(tblAssetMenuSpecs[Is Real Estate Residential EU (non-leveraged)],1):(INDEX(tblAssetMenuSpecs[Is Real Estate Residential EU (non-leveraged)],NumberOfAssets))))</f>
        <v>0</v>
      </c>
      <c r="X149" s="280">
        <f>MMULT(INDEX(ReportAssetWeightsAdverse,ROW()-ROW(X$135),1):INDEX(ReportAssetWeightsAdverse,ROW()-ROW(X$135),NumberOfAssets),INT(INDEX(tblAssetMenuSpecs[Is Government Bond EU],1):(INDEX(tblAssetMenuSpecs[Is Government Bond EU],NumberOfAssets))))</f>
        <v>0</v>
      </c>
      <c r="Y149" s="280">
        <f>MMULT(INDEX(ReportAssetWeightsAdverse,ROW()-ROW(Y$135),1):INDEX(ReportAssetWeightsAdverse,ROW()-ROW(Y$135),NumberOfAssets),INT(INDEX(tblAssetMenuSpecs[Is Government Bond US],1):(INDEX(tblAssetMenuSpecs[Is Government Bond US],NumberOfAssets))))</f>
        <v>0</v>
      </c>
      <c r="Z149" s="280">
        <f>MMULT(INDEX(ReportAssetWeightsAdverse,ROW()-ROW(Z$135),1):INDEX(ReportAssetWeightsAdverse,ROW()-ROW(Z$135),NumberOfAssets),INT(INDEX(tblAssetMenuSpecs[Is Government Bond Other Developed Markets],1):(INDEX(tblAssetMenuSpecs[Is Government Bond Other Developed Markets],NumberOfAssets))))</f>
        <v>0</v>
      </c>
      <c r="AA149" s="280">
        <f>MMULT(INDEX(ReportAssetWeightsAdverse,ROW()-ROW(AA$135),1):INDEX(ReportAssetWeightsAdverse,ROW()-ROW(AA$135),NumberOfAssets),INT(INDEX(tblAssetMenuSpecs[Is Government Bond Emerging Markets],1):(INDEX(tblAssetMenuSpecs[Is Government Bond Emerging Markets],NumberOfAssets))))</f>
        <v>0</v>
      </c>
      <c r="AB149" s="280">
        <f>MMULT(INDEX(ReportAssetWeightsAdverse,ROW()-ROW(AB$135),1):INDEX(ReportAssetWeightsAdverse,ROW()-ROW(AB$135),NumberOfAssets),INT(INDEX(tblAssetMenuSpecs[Is Corporate Bond],1):(INDEX(tblAssetMenuSpecs[Is Corporate Bond],NumberOfAssets))))</f>
        <v>0</v>
      </c>
      <c r="AC149" s="280">
        <f>MMULT(INDEX(ReportAssetWeightsAdverse,ROW()-ROW(AC$135),1):INDEX(ReportAssetWeightsAdverse,ROW()-ROW(AC$135),NumberOfAssets),INT(INDEX(tblAssetMenuSpecs[Is Corporate Bond Non-Financial],1):(INDEX(tblAssetMenuSpecs[Is Corporate Bond Non-Financial],NumberOfAssets))))</f>
        <v>0</v>
      </c>
      <c r="AD149" s="280">
        <f>MMULT(INDEX(ReportAssetWeightsAdverse,ROW()-ROW(AD$135),1):INDEX(ReportAssetWeightsAdverse,ROW()-ROW(AD$135),NumberOfAssets),INT(INDEX(tblAssetMenuSpecs[Is Corporate Bond Financial],1):(INDEX(tblAssetMenuSpecs[Is Corporate Bond Financial],NumberOfAssets))))</f>
        <v>0</v>
      </c>
      <c r="AE149" s="280">
        <f>MMULT(INDEX(ReportAssetWeightsAdverse,ROW()-ROW(AE$135),1):INDEX(ReportAssetWeightsAdverse,ROW()-ROW(AE$135),NumberOfAssets),INT(INDEX(tblAssetMenuSpecs[Is Cash and Deposits],1):(INDEX(tblAssetMenuSpecs[Is Cash and Deposits],NumberOfAssets))))</f>
        <v>1</v>
      </c>
    </row>
    <row r="150" spans="6:31" x14ac:dyDescent="0.25">
      <c r="F150" s="278">
        <f t="shared" si="1"/>
        <v>21</v>
      </c>
      <c r="G150" s="279">
        <f>MMULT(INDEX(ReportAssetWeightsAdverse,ROW()-ROW(G$135),1):INDEX(ReportAssetWeightsAdverse,ROW()-ROW(G$135),NumberOfAssets),INT(INDEX(tblAssetMenuSpecs[IsEquities],1):(INDEX(tblAssetMenuSpecs[IsEquities],NumberOfAssets))))</f>
        <v>0</v>
      </c>
      <c r="H150" s="279">
        <f>MMULT(INDEX(ReportAssetWeightsAdverse,ROW()-ROW(H$135),1):INDEX(ReportAssetWeightsAdverse,ROW()-ROW(H$135),NumberOfAssets),INT(INDEX(tblAssetMenuSpecs[IsRealEstate],1):(INDEX(tblAssetMenuSpecs[IsRealEstate],NumberOfAssets))))</f>
        <v>0</v>
      </c>
      <c r="I150" s="279">
        <f>MMULT(INDEX(ReportAssetWeightsAdverse,ROW()-ROW(I$135),1):INDEX(ReportAssetWeightsAdverse,ROW()-ROW(I$135),NumberOfAssets),INT(INDEX(tblAssetMenuSpecs[IsAlternatives],1):(INDEX(tblAssetMenuSpecs[IsAlternatives],NumberOfAssets))))</f>
        <v>0</v>
      </c>
      <c r="J150" s="279">
        <f>MMULT(INDEX(ReportAssetWeightsAdverse,ROW()-ROW(J$135),1):INDEX(ReportAssetWeightsAdverse,ROW()-ROW(J$135),NumberOfAssets),INT(INDEX(tblAssetMenuSpecs[IsFixedIncome],1):(INDEX(tblAssetMenuSpecs[IsFixedIncome],NumberOfAssets))))</f>
        <v>1</v>
      </c>
      <c r="L150" s="280">
        <f>MMULT(INDEX(ReportAssetWeightsAdverse,ROW()-ROW(L$135),1):INDEX(ReportAssetWeightsAdverse,ROW()-ROW(L$135),NumberOfAssets),INT(INDEX(tblAssetMenuSpecs[Is Equities EU],1):(INDEX(tblAssetMenuSpecs[Is Equities EU],NumberOfAssets))))</f>
        <v>0</v>
      </c>
      <c r="M150" s="280">
        <f>MMULT(INDEX(ReportAssetWeightsAdverse,ROW()-ROW(M$135),1):INDEX(ReportAssetWeightsAdverse,ROW()-ROW(M$135),NumberOfAssets),INT(INDEX(tblAssetMenuSpecs[Is Equities US],1):(INDEX(tblAssetMenuSpecs[Is Equities US],NumberOfAssets))))</f>
        <v>0</v>
      </c>
      <c r="N150" s="280">
        <f>MMULT(INDEX(ReportAssetWeightsAdverse,ROW()-ROW(N$135),1):INDEX(ReportAssetWeightsAdverse,ROW()-ROW(N$135),NumberOfAssets),INT(INDEX(tblAssetMenuSpecs[Is Equities Other Developed Markets],1):(INDEX(tblAssetMenuSpecs[Is Equities Other Developed Markets],NumberOfAssets))))</f>
        <v>0</v>
      </c>
      <c r="O150" s="280">
        <f>MMULT(INDEX(ReportAssetWeightsAdverse,ROW()-ROW(O$135),1):INDEX(ReportAssetWeightsAdverse,ROW()-ROW(O$135),NumberOfAssets),INT(INDEX(tblAssetMenuSpecs[Is Equities Emerging Markets],1):(INDEX(tblAssetMenuSpecs[Is Equities Emerging Markets],NumberOfAssets))))</f>
        <v>0</v>
      </c>
      <c r="P150" s="280">
        <f>MMULT(INDEX(ReportAssetWeightsAdverse,ROW()-ROW(P$135),1):INDEX(ReportAssetWeightsAdverse,ROW()-ROW(P$135),NumberOfAssets),INT(INDEX(tblAssetMenuSpecs[Is Commodities],1):(INDEX(tblAssetMenuSpecs[Is Commodities],NumberOfAssets))))</f>
        <v>0</v>
      </c>
      <c r="Q150" s="280">
        <f>MMULT(INDEX(ReportAssetWeightsAdverse,ROW()-ROW(Q$135),1):INDEX(ReportAssetWeightsAdverse,ROW()-ROW(Q$135),NumberOfAssets),INT(INDEX(tblAssetMenuSpecs[Is Private Equity],1):(INDEX(tblAssetMenuSpecs[Is Private Equity],NumberOfAssets))))</f>
        <v>0</v>
      </c>
      <c r="R150" s="280">
        <f>MMULT(INDEX(ReportAssetWeightsAdverse,ROW()-ROW(R$135),1):INDEX(ReportAssetWeightsAdverse,ROW()-ROW(R$135),NumberOfAssets),INT(INDEX(tblAssetMenuSpecs[Is Hedge Funds],1):(INDEX(tblAssetMenuSpecs[Is Hedge Funds],NumberOfAssets))))</f>
        <v>0</v>
      </c>
      <c r="S150" s="280">
        <f>MMULT(INDEX(ReportAssetWeightsAdverse,ROW()-ROW(S$135),1):INDEX(ReportAssetWeightsAdverse,ROW()-ROW(S$135),NumberOfAssets),INT(INDEX(tblAssetMenuSpecs[Is Real Estate EU],1):(INDEX(tblAssetMenuSpecs[Is Real Estate EU],NumberOfAssets))))</f>
        <v>0</v>
      </c>
      <c r="T150" s="280">
        <f>MMULT(INDEX(ReportAssetWeightsAdverse,ROW()-ROW(T$135),1):INDEX(ReportAssetWeightsAdverse,ROW()-ROW(T$135),NumberOfAssets),INT(INDEX(tblAssetMenuSpecs[Is Real Estate US],1):(INDEX(tblAssetMenuSpecs[Is Real Estate US],NumberOfAssets))))</f>
        <v>0</v>
      </c>
      <c r="U150" s="280">
        <f>MMULT(INDEX(ReportAssetWeightsAdverse,ROW()-ROW(U$135),1):INDEX(ReportAssetWeightsAdverse,ROW()-ROW(U$135),NumberOfAssets),INT(INDEX(tblAssetMenuSpecs[Is Real Estate Other Developed Markets],1):(INDEX(tblAssetMenuSpecs[Is Real Estate Other Developed Markets],NumberOfAssets))))</f>
        <v>0</v>
      </c>
      <c r="V150" s="280">
        <f>MMULT(INDEX(ReportAssetWeightsAdverse,ROW()-ROW(V$135),1):INDEX(ReportAssetWeightsAdverse,ROW()-ROW(V$135),NumberOfAssets),INT(INDEX(tblAssetMenuSpecs[Is Real Estate Commercial EU (non-leveraged)],1):(INDEX(tblAssetMenuSpecs[Is Real Estate Commercial EU (non-leveraged)],NumberOfAssets))))</f>
        <v>0</v>
      </c>
      <c r="W150" s="280">
        <f>MMULT(INDEX(ReportAssetWeightsAdverse,ROW()-ROW(W$135),1):INDEX(ReportAssetWeightsAdverse,ROW()-ROW(W$135),NumberOfAssets),INT(INDEX(tblAssetMenuSpecs[Is Real Estate Residential EU (non-leveraged)],1):(INDEX(tblAssetMenuSpecs[Is Real Estate Residential EU (non-leveraged)],NumberOfAssets))))</f>
        <v>0</v>
      </c>
      <c r="X150" s="280">
        <f>MMULT(INDEX(ReportAssetWeightsAdverse,ROW()-ROW(X$135),1):INDEX(ReportAssetWeightsAdverse,ROW()-ROW(X$135),NumberOfAssets),INT(INDEX(tblAssetMenuSpecs[Is Government Bond EU],1):(INDEX(tblAssetMenuSpecs[Is Government Bond EU],NumberOfAssets))))</f>
        <v>0</v>
      </c>
      <c r="Y150" s="280">
        <f>MMULT(INDEX(ReportAssetWeightsAdverse,ROW()-ROW(Y$135),1):INDEX(ReportAssetWeightsAdverse,ROW()-ROW(Y$135),NumberOfAssets),INT(INDEX(tblAssetMenuSpecs[Is Government Bond US],1):(INDEX(tblAssetMenuSpecs[Is Government Bond US],NumberOfAssets))))</f>
        <v>0</v>
      </c>
      <c r="Z150" s="280">
        <f>MMULT(INDEX(ReportAssetWeightsAdverse,ROW()-ROW(Z$135),1):INDEX(ReportAssetWeightsAdverse,ROW()-ROW(Z$135),NumberOfAssets),INT(INDEX(tblAssetMenuSpecs[Is Government Bond Other Developed Markets],1):(INDEX(tblAssetMenuSpecs[Is Government Bond Other Developed Markets],NumberOfAssets))))</f>
        <v>0</v>
      </c>
      <c r="AA150" s="280">
        <f>MMULT(INDEX(ReportAssetWeightsAdverse,ROW()-ROW(AA$135),1):INDEX(ReportAssetWeightsAdverse,ROW()-ROW(AA$135),NumberOfAssets),INT(INDEX(tblAssetMenuSpecs[Is Government Bond Emerging Markets],1):(INDEX(tblAssetMenuSpecs[Is Government Bond Emerging Markets],NumberOfAssets))))</f>
        <v>0</v>
      </c>
      <c r="AB150" s="280">
        <f>MMULT(INDEX(ReportAssetWeightsAdverse,ROW()-ROW(AB$135),1):INDEX(ReportAssetWeightsAdverse,ROW()-ROW(AB$135),NumberOfAssets),INT(INDEX(tblAssetMenuSpecs[Is Corporate Bond],1):(INDEX(tblAssetMenuSpecs[Is Corporate Bond],NumberOfAssets))))</f>
        <v>0</v>
      </c>
      <c r="AC150" s="280">
        <f>MMULT(INDEX(ReportAssetWeightsAdverse,ROW()-ROW(AC$135),1):INDEX(ReportAssetWeightsAdverse,ROW()-ROW(AC$135),NumberOfAssets),INT(INDEX(tblAssetMenuSpecs[Is Corporate Bond Non-Financial],1):(INDEX(tblAssetMenuSpecs[Is Corporate Bond Non-Financial],NumberOfAssets))))</f>
        <v>0</v>
      </c>
      <c r="AD150" s="280">
        <f>MMULT(INDEX(ReportAssetWeightsAdverse,ROW()-ROW(AD$135),1):INDEX(ReportAssetWeightsAdverse,ROW()-ROW(AD$135),NumberOfAssets),INT(INDEX(tblAssetMenuSpecs[Is Corporate Bond Financial],1):(INDEX(tblAssetMenuSpecs[Is Corporate Bond Financial],NumberOfAssets))))</f>
        <v>0</v>
      </c>
      <c r="AE150" s="280">
        <f>MMULT(INDEX(ReportAssetWeightsAdverse,ROW()-ROW(AE$135),1):INDEX(ReportAssetWeightsAdverse,ROW()-ROW(AE$135),NumberOfAssets),INT(INDEX(tblAssetMenuSpecs[Is Cash and Deposits],1):(INDEX(tblAssetMenuSpecs[Is Cash and Deposits],NumberOfAssets))))</f>
        <v>1</v>
      </c>
    </row>
    <row r="151" spans="6:31" x14ac:dyDescent="0.25">
      <c r="F151" s="278">
        <f t="shared" si="1"/>
        <v>20</v>
      </c>
      <c r="G151" s="279">
        <f>MMULT(INDEX(ReportAssetWeightsAdverse,ROW()-ROW(G$135),1):INDEX(ReportAssetWeightsAdverse,ROW()-ROW(G$135),NumberOfAssets),INT(INDEX(tblAssetMenuSpecs[IsEquities],1):(INDEX(tblAssetMenuSpecs[IsEquities],NumberOfAssets))))</f>
        <v>0</v>
      </c>
      <c r="H151" s="279">
        <f>MMULT(INDEX(ReportAssetWeightsAdverse,ROW()-ROW(H$135),1):INDEX(ReportAssetWeightsAdverse,ROW()-ROW(H$135),NumberOfAssets),INT(INDEX(tblAssetMenuSpecs[IsRealEstate],1):(INDEX(tblAssetMenuSpecs[IsRealEstate],NumberOfAssets))))</f>
        <v>0</v>
      </c>
      <c r="I151" s="279">
        <f>MMULT(INDEX(ReportAssetWeightsAdverse,ROW()-ROW(I$135),1):INDEX(ReportAssetWeightsAdverse,ROW()-ROW(I$135),NumberOfAssets),INT(INDEX(tblAssetMenuSpecs[IsAlternatives],1):(INDEX(tblAssetMenuSpecs[IsAlternatives],NumberOfAssets))))</f>
        <v>0</v>
      </c>
      <c r="J151" s="279">
        <f>MMULT(INDEX(ReportAssetWeightsAdverse,ROW()-ROW(J$135),1):INDEX(ReportAssetWeightsAdverse,ROW()-ROW(J$135),NumberOfAssets),INT(INDEX(tblAssetMenuSpecs[IsFixedIncome],1):(INDEX(tblAssetMenuSpecs[IsFixedIncome],NumberOfAssets))))</f>
        <v>1</v>
      </c>
      <c r="L151" s="280">
        <f>MMULT(INDEX(ReportAssetWeightsAdverse,ROW()-ROW(L$135),1):INDEX(ReportAssetWeightsAdverse,ROW()-ROW(L$135),NumberOfAssets),INT(INDEX(tblAssetMenuSpecs[Is Equities EU],1):(INDEX(tblAssetMenuSpecs[Is Equities EU],NumberOfAssets))))</f>
        <v>0</v>
      </c>
      <c r="M151" s="280">
        <f>MMULT(INDEX(ReportAssetWeightsAdverse,ROW()-ROW(M$135),1):INDEX(ReportAssetWeightsAdverse,ROW()-ROW(M$135),NumberOfAssets),INT(INDEX(tblAssetMenuSpecs[Is Equities US],1):(INDEX(tblAssetMenuSpecs[Is Equities US],NumberOfAssets))))</f>
        <v>0</v>
      </c>
      <c r="N151" s="280">
        <f>MMULT(INDEX(ReportAssetWeightsAdverse,ROW()-ROW(N$135),1):INDEX(ReportAssetWeightsAdverse,ROW()-ROW(N$135),NumberOfAssets),INT(INDEX(tblAssetMenuSpecs[Is Equities Other Developed Markets],1):(INDEX(tblAssetMenuSpecs[Is Equities Other Developed Markets],NumberOfAssets))))</f>
        <v>0</v>
      </c>
      <c r="O151" s="280">
        <f>MMULT(INDEX(ReportAssetWeightsAdverse,ROW()-ROW(O$135),1):INDEX(ReportAssetWeightsAdverse,ROW()-ROW(O$135),NumberOfAssets),INT(INDEX(tblAssetMenuSpecs[Is Equities Emerging Markets],1):(INDEX(tblAssetMenuSpecs[Is Equities Emerging Markets],NumberOfAssets))))</f>
        <v>0</v>
      </c>
      <c r="P151" s="280">
        <f>MMULT(INDEX(ReportAssetWeightsAdverse,ROW()-ROW(P$135),1):INDEX(ReportAssetWeightsAdverse,ROW()-ROW(P$135),NumberOfAssets),INT(INDEX(tblAssetMenuSpecs[Is Commodities],1):(INDEX(tblAssetMenuSpecs[Is Commodities],NumberOfAssets))))</f>
        <v>0</v>
      </c>
      <c r="Q151" s="280">
        <f>MMULT(INDEX(ReportAssetWeightsAdverse,ROW()-ROW(Q$135),1):INDEX(ReportAssetWeightsAdverse,ROW()-ROW(Q$135),NumberOfAssets),INT(INDEX(tblAssetMenuSpecs[Is Private Equity],1):(INDEX(tblAssetMenuSpecs[Is Private Equity],NumberOfAssets))))</f>
        <v>0</v>
      </c>
      <c r="R151" s="280">
        <f>MMULT(INDEX(ReportAssetWeightsAdverse,ROW()-ROW(R$135),1):INDEX(ReportAssetWeightsAdverse,ROW()-ROW(R$135),NumberOfAssets),INT(INDEX(tblAssetMenuSpecs[Is Hedge Funds],1):(INDEX(tblAssetMenuSpecs[Is Hedge Funds],NumberOfAssets))))</f>
        <v>0</v>
      </c>
      <c r="S151" s="280">
        <f>MMULT(INDEX(ReportAssetWeightsAdverse,ROW()-ROW(S$135),1):INDEX(ReportAssetWeightsAdverse,ROW()-ROW(S$135),NumberOfAssets),INT(INDEX(tblAssetMenuSpecs[Is Real Estate EU],1):(INDEX(tblAssetMenuSpecs[Is Real Estate EU],NumberOfAssets))))</f>
        <v>0</v>
      </c>
      <c r="T151" s="280">
        <f>MMULT(INDEX(ReportAssetWeightsAdverse,ROW()-ROW(T$135),1):INDEX(ReportAssetWeightsAdverse,ROW()-ROW(T$135),NumberOfAssets),INT(INDEX(tblAssetMenuSpecs[Is Real Estate US],1):(INDEX(tblAssetMenuSpecs[Is Real Estate US],NumberOfAssets))))</f>
        <v>0</v>
      </c>
      <c r="U151" s="280">
        <f>MMULT(INDEX(ReportAssetWeightsAdverse,ROW()-ROW(U$135),1):INDEX(ReportAssetWeightsAdverse,ROW()-ROW(U$135),NumberOfAssets),INT(INDEX(tblAssetMenuSpecs[Is Real Estate Other Developed Markets],1):(INDEX(tblAssetMenuSpecs[Is Real Estate Other Developed Markets],NumberOfAssets))))</f>
        <v>0</v>
      </c>
      <c r="V151" s="280">
        <f>MMULT(INDEX(ReportAssetWeightsAdverse,ROW()-ROW(V$135),1):INDEX(ReportAssetWeightsAdverse,ROW()-ROW(V$135),NumberOfAssets),INT(INDEX(tblAssetMenuSpecs[Is Real Estate Commercial EU (non-leveraged)],1):(INDEX(tblAssetMenuSpecs[Is Real Estate Commercial EU (non-leveraged)],NumberOfAssets))))</f>
        <v>0</v>
      </c>
      <c r="W151" s="280">
        <f>MMULT(INDEX(ReportAssetWeightsAdverse,ROW()-ROW(W$135),1):INDEX(ReportAssetWeightsAdverse,ROW()-ROW(W$135),NumberOfAssets),INT(INDEX(tblAssetMenuSpecs[Is Real Estate Residential EU (non-leveraged)],1):(INDEX(tblAssetMenuSpecs[Is Real Estate Residential EU (non-leveraged)],NumberOfAssets))))</f>
        <v>0</v>
      </c>
      <c r="X151" s="280">
        <f>MMULT(INDEX(ReportAssetWeightsAdverse,ROW()-ROW(X$135),1):INDEX(ReportAssetWeightsAdverse,ROW()-ROW(X$135),NumberOfAssets),INT(INDEX(tblAssetMenuSpecs[Is Government Bond EU],1):(INDEX(tblAssetMenuSpecs[Is Government Bond EU],NumberOfAssets))))</f>
        <v>0</v>
      </c>
      <c r="Y151" s="280">
        <f>MMULT(INDEX(ReportAssetWeightsAdverse,ROW()-ROW(Y$135),1):INDEX(ReportAssetWeightsAdverse,ROW()-ROW(Y$135),NumberOfAssets),INT(INDEX(tblAssetMenuSpecs[Is Government Bond US],1):(INDEX(tblAssetMenuSpecs[Is Government Bond US],NumberOfAssets))))</f>
        <v>0</v>
      </c>
      <c r="Z151" s="280">
        <f>MMULT(INDEX(ReportAssetWeightsAdverse,ROW()-ROW(Z$135),1):INDEX(ReportAssetWeightsAdverse,ROW()-ROW(Z$135),NumberOfAssets),INT(INDEX(tblAssetMenuSpecs[Is Government Bond Other Developed Markets],1):(INDEX(tblAssetMenuSpecs[Is Government Bond Other Developed Markets],NumberOfAssets))))</f>
        <v>0</v>
      </c>
      <c r="AA151" s="280">
        <f>MMULT(INDEX(ReportAssetWeightsAdverse,ROW()-ROW(AA$135),1):INDEX(ReportAssetWeightsAdverse,ROW()-ROW(AA$135),NumberOfAssets),INT(INDEX(tblAssetMenuSpecs[Is Government Bond Emerging Markets],1):(INDEX(tblAssetMenuSpecs[Is Government Bond Emerging Markets],NumberOfAssets))))</f>
        <v>0</v>
      </c>
      <c r="AB151" s="280">
        <f>MMULT(INDEX(ReportAssetWeightsAdverse,ROW()-ROW(AB$135),1):INDEX(ReportAssetWeightsAdverse,ROW()-ROW(AB$135),NumberOfAssets),INT(INDEX(tblAssetMenuSpecs[Is Corporate Bond],1):(INDEX(tblAssetMenuSpecs[Is Corporate Bond],NumberOfAssets))))</f>
        <v>0</v>
      </c>
      <c r="AC151" s="280">
        <f>MMULT(INDEX(ReportAssetWeightsAdverse,ROW()-ROW(AC$135),1):INDEX(ReportAssetWeightsAdverse,ROW()-ROW(AC$135),NumberOfAssets),INT(INDEX(tblAssetMenuSpecs[Is Corporate Bond Non-Financial],1):(INDEX(tblAssetMenuSpecs[Is Corporate Bond Non-Financial],NumberOfAssets))))</f>
        <v>0</v>
      </c>
      <c r="AD151" s="280">
        <f>MMULT(INDEX(ReportAssetWeightsAdverse,ROW()-ROW(AD$135),1):INDEX(ReportAssetWeightsAdverse,ROW()-ROW(AD$135),NumberOfAssets),INT(INDEX(tblAssetMenuSpecs[Is Corporate Bond Financial],1):(INDEX(tblAssetMenuSpecs[Is Corporate Bond Financial],NumberOfAssets))))</f>
        <v>0</v>
      </c>
      <c r="AE151" s="280">
        <f>MMULT(INDEX(ReportAssetWeightsAdverse,ROW()-ROW(AE$135),1):INDEX(ReportAssetWeightsAdverse,ROW()-ROW(AE$135),NumberOfAssets),INT(INDEX(tblAssetMenuSpecs[Is Cash and Deposits],1):(INDEX(tblAssetMenuSpecs[Is Cash and Deposits],NumberOfAssets))))</f>
        <v>1</v>
      </c>
    </row>
    <row r="152" spans="6:31" x14ac:dyDescent="0.25">
      <c r="F152" s="278">
        <f t="shared" si="1"/>
        <v>19</v>
      </c>
      <c r="G152" s="279">
        <f>MMULT(INDEX(ReportAssetWeightsAdverse,ROW()-ROW(G$135),1):INDEX(ReportAssetWeightsAdverse,ROW()-ROW(G$135),NumberOfAssets),INT(INDEX(tblAssetMenuSpecs[IsEquities],1):(INDEX(tblAssetMenuSpecs[IsEquities],NumberOfAssets))))</f>
        <v>0</v>
      </c>
      <c r="H152" s="279">
        <f>MMULT(INDEX(ReportAssetWeightsAdverse,ROW()-ROW(H$135),1):INDEX(ReportAssetWeightsAdverse,ROW()-ROW(H$135),NumberOfAssets),INT(INDEX(tblAssetMenuSpecs[IsRealEstate],1):(INDEX(tblAssetMenuSpecs[IsRealEstate],NumberOfAssets))))</f>
        <v>0</v>
      </c>
      <c r="I152" s="279">
        <f>MMULT(INDEX(ReportAssetWeightsAdverse,ROW()-ROW(I$135),1):INDEX(ReportAssetWeightsAdverse,ROW()-ROW(I$135),NumberOfAssets),INT(INDEX(tblAssetMenuSpecs[IsAlternatives],1):(INDEX(tblAssetMenuSpecs[IsAlternatives],NumberOfAssets))))</f>
        <v>0</v>
      </c>
      <c r="J152" s="279">
        <f>MMULT(INDEX(ReportAssetWeightsAdverse,ROW()-ROW(J$135),1):INDEX(ReportAssetWeightsAdverse,ROW()-ROW(J$135),NumberOfAssets),INT(INDEX(tblAssetMenuSpecs[IsFixedIncome],1):(INDEX(tblAssetMenuSpecs[IsFixedIncome],NumberOfAssets))))</f>
        <v>1</v>
      </c>
      <c r="L152" s="280">
        <f>MMULT(INDEX(ReportAssetWeightsAdverse,ROW()-ROW(L$135),1):INDEX(ReportAssetWeightsAdverse,ROW()-ROW(L$135),NumberOfAssets),INT(INDEX(tblAssetMenuSpecs[Is Equities EU],1):(INDEX(tblAssetMenuSpecs[Is Equities EU],NumberOfAssets))))</f>
        <v>0</v>
      </c>
      <c r="M152" s="280">
        <f>MMULT(INDEX(ReportAssetWeightsAdverse,ROW()-ROW(M$135),1):INDEX(ReportAssetWeightsAdverse,ROW()-ROW(M$135),NumberOfAssets),INT(INDEX(tblAssetMenuSpecs[Is Equities US],1):(INDEX(tblAssetMenuSpecs[Is Equities US],NumberOfAssets))))</f>
        <v>0</v>
      </c>
      <c r="N152" s="280">
        <f>MMULT(INDEX(ReportAssetWeightsAdverse,ROW()-ROW(N$135),1):INDEX(ReportAssetWeightsAdverse,ROW()-ROW(N$135),NumberOfAssets),INT(INDEX(tblAssetMenuSpecs[Is Equities Other Developed Markets],1):(INDEX(tblAssetMenuSpecs[Is Equities Other Developed Markets],NumberOfAssets))))</f>
        <v>0</v>
      </c>
      <c r="O152" s="280">
        <f>MMULT(INDEX(ReportAssetWeightsAdverse,ROW()-ROW(O$135),1):INDEX(ReportAssetWeightsAdverse,ROW()-ROW(O$135),NumberOfAssets),INT(INDEX(tblAssetMenuSpecs[Is Equities Emerging Markets],1):(INDEX(tblAssetMenuSpecs[Is Equities Emerging Markets],NumberOfAssets))))</f>
        <v>0</v>
      </c>
      <c r="P152" s="280">
        <f>MMULT(INDEX(ReportAssetWeightsAdverse,ROW()-ROW(P$135),1):INDEX(ReportAssetWeightsAdverse,ROW()-ROW(P$135),NumberOfAssets),INT(INDEX(tblAssetMenuSpecs[Is Commodities],1):(INDEX(tblAssetMenuSpecs[Is Commodities],NumberOfAssets))))</f>
        <v>0</v>
      </c>
      <c r="Q152" s="280">
        <f>MMULT(INDEX(ReportAssetWeightsAdverse,ROW()-ROW(Q$135),1):INDEX(ReportAssetWeightsAdverse,ROW()-ROW(Q$135),NumberOfAssets),INT(INDEX(tblAssetMenuSpecs[Is Private Equity],1):(INDEX(tblAssetMenuSpecs[Is Private Equity],NumberOfAssets))))</f>
        <v>0</v>
      </c>
      <c r="R152" s="280">
        <f>MMULT(INDEX(ReportAssetWeightsAdverse,ROW()-ROW(R$135),1):INDEX(ReportAssetWeightsAdverse,ROW()-ROW(R$135),NumberOfAssets),INT(INDEX(tblAssetMenuSpecs[Is Hedge Funds],1):(INDEX(tblAssetMenuSpecs[Is Hedge Funds],NumberOfAssets))))</f>
        <v>0</v>
      </c>
      <c r="S152" s="280">
        <f>MMULT(INDEX(ReportAssetWeightsAdverse,ROW()-ROW(S$135),1):INDEX(ReportAssetWeightsAdverse,ROW()-ROW(S$135),NumberOfAssets),INT(INDEX(tblAssetMenuSpecs[Is Real Estate EU],1):(INDEX(tblAssetMenuSpecs[Is Real Estate EU],NumberOfAssets))))</f>
        <v>0</v>
      </c>
      <c r="T152" s="280">
        <f>MMULT(INDEX(ReportAssetWeightsAdverse,ROW()-ROW(T$135),1):INDEX(ReportAssetWeightsAdverse,ROW()-ROW(T$135),NumberOfAssets),INT(INDEX(tblAssetMenuSpecs[Is Real Estate US],1):(INDEX(tblAssetMenuSpecs[Is Real Estate US],NumberOfAssets))))</f>
        <v>0</v>
      </c>
      <c r="U152" s="280">
        <f>MMULT(INDEX(ReportAssetWeightsAdverse,ROW()-ROW(U$135),1):INDEX(ReportAssetWeightsAdverse,ROW()-ROW(U$135),NumberOfAssets),INT(INDEX(tblAssetMenuSpecs[Is Real Estate Other Developed Markets],1):(INDEX(tblAssetMenuSpecs[Is Real Estate Other Developed Markets],NumberOfAssets))))</f>
        <v>0</v>
      </c>
      <c r="V152" s="280">
        <f>MMULT(INDEX(ReportAssetWeightsAdverse,ROW()-ROW(V$135),1):INDEX(ReportAssetWeightsAdverse,ROW()-ROW(V$135),NumberOfAssets),INT(INDEX(tblAssetMenuSpecs[Is Real Estate Commercial EU (non-leveraged)],1):(INDEX(tblAssetMenuSpecs[Is Real Estate Commercial EU (non-leveraged)],NumberOfAssets))))</f>
        <v>0</v>
      </c>
      <c r="W152" s="280">
        <f>MMULT(INDEX(ReportAssetWeightsAdverse,ROW()-ROW(W$135),1):INDEX(ReportAssetWeightsAdverse,ROW()-ROW(W$135),NumberOfAssets),INT(INDEX(tblAssetMenuSpecs[Is Real Estate Residential EU (non-leveraged)],1):(INDEX(tblAssetMenuSpecs[Is Real Estate Residential EU (non-leveraged)],NumberOfAssets))))</f>
        <v>0</v>
      </c>
      <c r="X152" s="280">
        <f>MMULT(INDEX(ReportAssetWeightsAdverse,ROW()-ROW(X$135),1):INDEX(ReportAssetWeightsAdverse,ROW()-ROW(X$135),NumberOfAssets),INT(INDEX(tblAssetMenuSpecs[Is Government Bond EU],1):(INDEX(tblAssetMenuSpecs[Is Government Bond EU],NumberOfAssets))))</f>
        <v>0</v>
      </c>
      <c r="Y152" s="280">
        <f>MMULT(INDEX(ReportAssetWeightsAdverse,ROW()-ROW(Y$135),1):INDEX(ReportAssetWeightsAdverse,ROW()-ROW(Y$135),NumberOfAssets),INT(INDEX(tblAssetMenuSpecs[Is Government Bond US],1):(INDEX(tblAssetMenuSpecs[Is Government Bond US],NumberOfAssets))))</f>
        <v>0</v>
      </c>
      <c r="Z152" s="280">
        <f>MMULT(INDEX(ReportAssetWeightsAdverse,ROW()-ROW(Z$135),1):INDEX(ReportAssetWeightsAdverse,ROW()-ROW(Z$135),NumberOfAssets),INT(INDEX(tblAssetMenuSpecs[Is Government Bond Other Developed Markets],1):(INDEX(tblAssetMenuSpecs[Is Government Bond Other Developed Markets],NumberOfAssets))))</f>
        <v>0</v>
      </c>
      <c r="AA152" s="280">
        <f>MMULT(INDEX(ReportAssetWeightsAdverse,ROW()-ROW(AA$135),1):INDEX(ReportAssetWeightsAdverse,ROW()-ROW(AA$135),NumberOfAssets),INT(INDEX(tblAssetMenuSpecs[Is Government Bond Emerging Markets],1):(INDEX(tblAssetMenuSpecs[Is Government Bond Emerging Markets],NumberOfAssets))))</f>
        <v>0</v>
      </c>
      <c r="AB152" s="280">
        <f>MMULT(INDEX(ReportAssetWeightsAdverse,ROW()-ROW(AB$135),1):INDEX(ReportAssetWeightsAdverse,ROW()-ROW(AB$135),NumberOfAssets),INT(INDEX(tblAssetMenuSpecs[Is Corporate Bond],1):(INDEX(tblAssetMenuSpecs[Is Corporate Bond],NumberOfAssets))))</f>
        <v>0</v>
      </c>
      <c r="AC152" s="280">
        <f>MMULT(INDEX(ReportAssetWeightsAdverse,ROW()-ROW(AC$135),1):INDEX(ReportAssetWeightsAdverse,ROW()-ROW(AC$135),NumberOfAssets),INT(INDEX(tblAssetMenuSpecs[Is Corporate Bond Non-Financial],1):(INDEX(tblAssetMenuSpecs[Is Corporate Bond Non-Financial],NumberOfAssets))))</f>
        <v>0</v>
      </c>
      <c r="AD152" s="280">
        <f>MMULT(INDEX(ReportAssetWeightsAdverse,ROW()-ROW(AD$135),1):INDEX(ReportAssetWeightsAdverse,ROW()-ROW(AD$135),NumberOfAssets),INT(INDEX(tblAssetMenuSpecs[Is Corporate Bond Financial],1):(INDEX(tblAssetMenuSpecs[Is Corporate Bond Financial],NumberOfAssets))))</f>
        <v>0</v>
      </c>
      <c r="AE152" s="280">
        <f>MMULT(INDEX(ReportAssetWeightsAdverse,ROW()-ROW(AE$135),1):INDEX(ReportAssetWeightsAdverse,ROW()-ROW(AE$135),NumberOfAssets),INT(INDEX(tblAssetMenuSpecs[Is Cash and Deposits],1):(INDEX(tblAssetMenuSpecs[Is Cash and Deposits],NumberOfAssets))))</f>
        <v>1</v>
      </c>
    </row>
    <row r="153" spans="6:31" x14ac:dyDescent="0.25">
      <c r="F153" s="278">
        <f t="shared" si="1"/>
        <v>18</v>
      </c>
      <c r="G153" s="279">
        <f>MMULT(INDEX(ReportAssetWeightsAdverse,ROW()-ROW(G$135),1):INDEX(ReportAssetWeightsAdverse,ROW()-ROW(G$135),NumberOfAssets),INT(INDEX(tblAssetMenuSpecs[IsEquities],1):(INDEX(tblAssetMenuSpecs[IsEquities],NumberOfAssets))))</f>
        <v>0</v>
      </c>
      <c r="H153" s="279">
        <f>MMULT(INDEX(ReportAssetWeightsAdverse,ROW()-ROW(H$135),1):INDEX(ReportAssetWeightsAdverse,ROW()-ROW(H$135),NumberOfAssets),INT(INDEX(tblAssetMenuSpecs[IsRealEstate],1):(INDEX(tblAssetMenuSpecs[IsRealEstate],NumberOfAssets))))</f>
        <v>0</v>
      </c>
      <c r="I153" s="279">
        <f>MMULT(INDEX(ReportAssetWeightsAdverse,ROW()-ROW(I$135),1):INDEX(ReportAssetWeightsAdverse,ROW()-ROW(I$135),NumberOfAssets),INT(INDEX(tblAssetMenuSpecs[IsAlternatives],1):(INDEX(tblAssetMenuSpecs[IsAlternatives],NumberOfAssets))))</f>
        <v>0</v>
      </c>
      <c r="J153" s="279">
        <f>MMULT(INDEX(ReportAssetWeightsAdverse,ROW()-ROW(J$135),1):INDEX(ReportAssetWeightsAdverse,ROW()-ROW(J$135),NumberOfAssets),INT(INDEX(tblAssetMenuSpecs[IsFixedIncome],1):(INDEX(tblAssetMenuSpecs[IsFixedIncome],NumberOfAssets))))</f>
        <v>1</v>
      </c>
      <c r="L153" s="280">
        <f>MMULT(INDEX(ReportAssetWeightsAdverse,ROW()-ROW(L$135),1):INDEX(ReportAssetWeightsAdverse,ROW()-ROW(L$135),NumberOfAssets),INT(INDEX(tblAssetMenuSpecs[Is Equities EU],1):(INDEX(tblAssetMenuSpecs[Is Equities EU],NumberOfAssets))))</f>
        <v>0</v>
      </c>
      <c r="M153" s="280">
        <f>MMULT(INDEX(ReportAssetWeightsAdverse,ROW()-ROW(M$135),1):INDEX(ReportAssetWeightsAdverse,ROW()-ROW(M$135),NumberOfAssets),INT(INDEX(tblAssetMenuSpecs[Is Equities US],1):(INDEX(tblAssetMenuSpecs[Is Equities US],NumberOfAssets))))</f>
        <v>0</v>
      </c>
      <c r="N153" s="280">
        <f>MMULT(INDEX(ReportAssetWeightsAdverse,ROW()-ROW(N$135),1):INDEX(ReportAssetWeightsAdverse,ROW()-ROW(N$135),NumberOfAssets),INT(INDEX(tblAssetMenuSpecs[Is Equities Other Developed Markets],1):(INDEX(tblAssetMenuSpecs[Is Equities Other Developed Markets],NumberOfAssets))))</f>
        <v>0</v>
      </c>
      <c r="O153" s="280">
        <f>MMULT(INDEX(ReportAssetWeightsAdverse,ROW()-ROW(O$135),1):INDEX(ReportAssetWeightsAdverse,ROW()-ROW(O$135),NumberOfAssets),INT(INDEX(tblAssetMenuSpecs[Is Equities Emerging Markets],1):(INDEX(tblAssetMenuSpecs[Is Equities Emerging Markets],NumberOfAssets))))</f>
        <v>0</v>
      </c>
      <c r="P153" s="280">
        <f>MMULT(INDEX(ReportAssetWeightsAdverse,ROW()-ROW(P$135),1):INDEX(ReportAssetWeightsAdverse,ROW()-ROW(P$135),NumberOfAssets),INT(INDEX(tblAssetMenuSpecs[Is Commodities],1):(INDEX(tblAssetMenuSpecs[Is Commodities],NumberOfAssets))))</f>
        <v>0</v>
      </c>
      <c r="Q153" s="280">
        <f>MMULT(INDEX(ReportAssetWeightsAdverse,ROW()-ROW(Q$135),1):INDEX(ReportAssetWeightsAdverse,ROW()-ROW(Q$135),NumberOfAssets),INT(INDEX(tblAssetMenuSpecs[Is Private Equity],1):(INDEX(tblAssetMenuSpecs[Is Private Equity],NumberOfAssets))))</f>
        <v>0</v>
      </c>
      <c r="R153" s="280">
        <f>MMULT(INDEX(ReportAssetWeightsAdverse,ROW()-ROW(R$135),1):INDEX(ReportAssetWeightsAdverse,ROW()-ROW(R$135),NumberOfAssets),INT(INDEX(tblAssetMenuSpecs[Is Hedge Funds],1):(INDEX(tblAssetMenuSpecs[Is Hedge Funds],NumberOfAssets))))</f>
        <v>0</v>
      </c>
      <c r="S153" s="280">
        <f>MMULT(INDEX(ReportAssetWeightsAdverse,ROW()-ROW(S$135),1):INDEX(ReportAssetWeightsAdverse,ROW()-ROW(S$135),NumberOfAssets),INT(INDEX(tblAssetMenuSpecs[Is Real Estate EU],1):(INDEX(tblAssetMenuSpecs[Is Real Estate EU],NumberOfAssets))))</f>
        <v>0</v>
      </c>
      <c r="T153" s="280">
        <f>MMULT(INDEX(ReportAssetWeightsAdverse,ROW()-ROW(T$135),1):INDEX(ReportAssetWeightsAdverse,ROW()-ROW(T$135),NumberOfAssets),INT(INDEX(tblAssetMenuSpecs[Is Real Estate US],1):(INDEX(tblAssetMenuSpecs[Is Real Estate US],NumberOfAssets))))</f>
        <v>0</v>
      </c>
      <c r="U153" s="280">
        <f>MMULT(INDEX(ReportAssetWeightsAdverse,ROW()-ROW(U$135),1):INDEX(ReportAssetWeightsAdverse,ROW()-ROW(U$135),NumberOfAssets),INT(INDEX(tblAssetMenuSpecs[Is Real Estate Other Developed Markets],1):(INDEX(tblAssetMenuSpecs[Is Real Estate Other Developed Markets],NumberOfAssets))))</f>
        <v>0</v>
      </c>
      <c r="V153" s="280">
        <f>MMULT(INDEX(ReportAssetWeightsAdverse,ROW()-ROW(V$135),1):INDEX(ReportAssetWeightsAdverse,ROW()-ROW(V$135),NumberOfAssets),INT(INDEX(tblAssetMenuSpecs[Is Real Estate Commercial EU (non-leveraged)],1):(INDEX(tblAssetMenuSpecs[Is Real Estate Commercial EU (non-leveraged)],NumberOfAssets))))</f>
        <v>0</v>
      </c>
      <c r="W153" s="280">
        <f>MMULT(INDEX(ReportAssetWeightsAdverse,ROW()-ROW(W$135),1):INDEX(ReportAssetWeightsAdverse,ROW()-ROW(W$135),NumberOfAssets),INT(INDEX(tblAssetMenuSpecs[Is Real Estate Residential EU (non-leveraged)],1):(INDEX(tblAssetMenuSpecs[Is Real Estate Residential EU (non-leveraged)],NumberOfAssets))))</f>
        <v>0</v>
      </c>
      <c r="X153" s="280">
        <f>MMULT(INDEX(ReportAssetWeightsAdverse,ROW()-ROW(X$135),1):INDEX(ReportAssetWeightsAdverse,ROW()-ROW(X$135),NumberOfAssets),INT(INDEX(tblAssetMenuSpecs[Is Government Bond EU],1):(INDEX(tblAssetMenuSpecs[Is Government Bond EU],NumberOfAssets))))</f>
        <v>0</v>
      </c>
      <c r="Y153" s="280">
        <f>MMULT(INDEX(ReportAssetWeightsAdverse,ROW()-ROW(Y$135),1):INDEX(ReportAssetWeightsAdverse,ROW()-ROW(Y$135),NumberOfAssets),INT(INDEX(tblAssetMenuSpecs[Is Government Bond US],1):(INDEX(tblAssetMenuSpecs[Is Government Bond US],NumberOfAssets))))</f>
        <v>0</v>
      </c>
      <c r="Z153" s="280">
        <f>MMULT(INDEX(ReportAssetWeightsAdverse,ROW()-ROW(Z$135),1):INDEX(ReportAssetWeightsAdverse,ROW()-ROW(Z$135),NumberOfAssets),INT(INDEX(tblAssetMenuSpecs[Is Government Bond Other Developed Markets],1):(INDEX(tblAssetMenuSpecs[Is Government Bond Other Developed Markets],NumberOfAssets))))</f>
        <v>0</v>
      </c>
      <c r="AA153" s="280">
        <f>MMULT(INDEX(ReportAssetWeightsAdverse,ROW()-ROW(AA$135),1):INDEX(ReportAssetWeightsAdverse,ROW()-ROW(AA$135),NumberOfAssets),INT(INDEX(tblAssetMenuSpecs[Is Government Bond Emerging Markets],1):(INDEX(tblAssetMenuSpecs[Is Government Bond Emerging Markets],NumberOfAssets))))</f>
        <v>0</v>
      </c>
      <c r="AB153" s="280">
        <f>MMULT(INDEX(ReportAssetWeightsAdverse,ROW()-ROW(AB$135),1):INDEX(ReportAssetWeightsAdverse,ROW()-ROW(AB$135),NumberOfAssets),INT(INDEX(tblAssetMenuSpecs[Is Corporate Bond],1):(INDEX(tblAssetMenuSpecs[Is Corporate Bond],NumberOfAssets))))</f>
        <v>0</v>
      </c>
      <c r="AC153" s="280">
        <f>MMULT(INDEX(ReportAssetWeightsAdverse,ROW()-ROW(AC$135),1):INDEX(ReportAssetWeightsAdverse,ROW()-ROW(AC$135),NumberOfAssets),INT(INDEX(tblAssetMenuSpecs[Is Corporate Bond Non-Financial],1):(INDEX(tblAssetMenuSpecs[Is Corporate Bond Non-Financial],NumberOfAssets))))</f>
        <v>0</v>
      </c>
      <c r="AD153" s="280">
        <f>MMULT(INDEX(ReportAssetWeightsAdverse,ROW()-ROW(AD$135),1):INDEX(ReportAssetWeightsAdverse,ROW()-ROW(AD$135),NumberOfAssets),INT(INDEX(tblAssetMenuSpecs[Is Corporate Bond Financial],1):(INDEX(tblAssetMenuSpecs[Is Corporate Bond Financial],NumberOfAssets))))</f>
        <v>0</v>
      </c>
      <c r="AE153" s="280">
        <f>MMULT(INDEX(ReportAssetWeightsAdverse,ROW()-ROW(AE$135),1):INDEX(ReportAssetWeightsAdverse,ROW()-ROW(AE$135),NumberOfAssets),INT(INDEX(tblAssetMenuSpecs[Is Cash and Deposits],1):(INDEX(tblAssetMenuSpecs[Is Cash and Deposits],NumberOfAssets))))</f>
        <v>1</v>
      </c>
    </row>
    <row r="154" spans="6:31" x14ac:dyDescent="0.25">
      <c r="F154" s="278">
        <f t="shared" si="1"/>
        <v>17</v>
      </c>
      <c r="G154" s="279">
        <f>MMULT(INDEX(ReportAssetWeightsAdverse,ROW()-ROW(G$135),1):INDEX(ReportAssetWeightsAdverse,ROW()-ROW(G$135),NumberOfAssets),INT(INDEX(tblAssetMenuSpecs[IsEquities],1):(INDEX(tblAssetMenuSpecs[IsEquities],NumberOfAssets))))</f>
        <v>0</v>
      </c>
      <c r="H154" s="279">
        <f>MMULT(INDEX(ReportAssetWeightsAdverse,ROW()-ROW(H$135),1):INDEX(ReportAssetWeightsAdverse,ROW()-ROW(H$135),NumberOfAssets),INT(INDEX(tblAssetMenuSpecs[IsRealEstate],1):(INDEX(tblAssetMenuSpecs[IsRealEstate],NumberOfAssets))))</f>
        <v>0</v>
      </c>
      <c r="I154" s="279">
        <f>MMULT(INDEX(ReportAssetWeightsAdverse,ROW()-ROW(I$135),1):INDEX(ReportAssetWeightsAdverse,ROW()-ROW(I$135),NumberOfAssets),INT(INDEX(tblAssetMenuSpecs[IsAlternatives],1):(INDEX(tblAssetMenuSpecs[IsAlternatives],NumberOfAssets))))</f>
        <v>0</v>
      </c>
      <c r="J154" s="279">
        <f>MMULT(INDEX(ReportAssetWeightsAdverse,ROW()-ROW(J$135),1):INDEX(ReportAssetWeightsAdverse,ROW()-ROW(J$135),NumberOfAssets),INT(INDEX(tblAssetMenuSpecs[IsFixedIncome],1):(INDEX(tblAssetMenuSpecs[IsFixedIncome],NumberOfAssets))))</f>
        <v>1</v>
      </c>
      <c r="L154" s="280">
        <f>MMULT(INDEX(ReportAssetWeightsAdverse,ROW()-ROW(L$135),1):INDEX(ReportAssetWeightsAdverse,ROW()-ROW(L$135),NumberOfAssets),INT(INDEX(tblAssetMenuSpecs[Is Equities EU],1):(INDEX(tblAssetMenuSpecs[Is Equities EU],NumberOfAssets))))</f>
        <v>0</v>
      </c>
      <c r="M154" s="280">
        <f>MMULT(INDEX(ReportAssetWeightsAdverse,ROW()-ROW(M$135),1):INDEX(ReportAssetWeightsAdverse,ROW()-ROW(M$135),NumberOfAssets),INT(INDEX(tblAssetMenuSpecs[Is Equities US],1):(INDEX(tblAssetMenuSpecs[Is Equities US],NumberOfAssets))))</f>
        <v>0</v>
      </c>
      <c r="N154" s="280">
        <f>MMULT(INDEX(ReportAssetWeightsAdverse,ROW()-ROW(N$135),1):INDEX(ReportAssetWeightsAdverse,ROW()-ROW(N$135),NumberOfAssets),INT(INDEX(tblAssetMenuSpecs[Is Equities Other Developed Markets],1):(INDEX(tblAssetMenuSpecs[Is Equities Other Developed Markets],NumberOfAssets))))</f>
        <v>0</v>
      </c>
      <c r="O154" s="280">
        <f>MMULT(INDEX(ReportAssetWeightsAdverse,ROW()-ROW(O$135),1):INDEX(ReportAssetWeightsAdverse,ROW()-ROW(O$135),NumberOfAssets),INT(INDEX(tblAssetMenuSpecs[Is Equities Emerging Markets],1):(INDEX(tblAssetMenuSpecs[Is Equities Emerging Markets],NumberOfAssets))))</f>
        <v>0</v>
      </c>
      <c r="P154" s="280">
        <f>MMULT(INDEX(ReportAssetWeightsAdverse,ROW()-ROW(P$135),1):INDEX(ReportAssetWeightsAdverse,ROW()-ROW(P$135),NumberOfAssets),INT(INDEX(tblAssetMenuSpecs[Is Commodities],1):(INDEX(tblAssetMenuSpecs[Is Commodities],NumberOfAssets))))</f>
        <v>0</v>
      </c>
      <c r="Q154" s="280">
        <f>MMULT(INDEX(ReportAssetWeightsAdverse,ROW()-ROW(Q$135),1):INDEX(ReportAssetWeightsAdverse,ROW()-ROW(Q$135),NumberOfAssets),INT(INDEX(tblAssetMenuSpecs[Is Private Equity],1):(INDEX(tblAssetMenuSpecs[Is Private Equity],NumberOfAssets))))</f>
        <v>0</v>
      </c>
      <c r="R154" s="280">
        <f>MMULT(INDEX(ReportAssetWeightsAdverse,ROW()-ROW(R$135),1):INDEX(ReportAssetWeightsAdverse,ROW()-ROW(R$135),NumberOfAssets),INT(INDEX(tblAssetMenuSpecs[Is Hedge Funds],1):(INDEX(tblAssetMenuSpecs[Is Hedge Funds],NumberOfAssets))))</f>
        <v>0</v>
      </c>
      <c r="S154" s="280">
        <f>MMULT(INDEX(ReportAssetWeightsAdverse,ROW()-ROW(S$135),1):INDEX(ReportAssetWeightsAdverse,ROW()-ROW(S$135),NumberOfAssets),INT(INDEX(tblAssetMenuSpecs[Is Real Estate EU],1):(INDEX(tblAssetMenuSpecs[Is Real Estate EU],NumberOfAssets))))</f>
        <v>0</v>
      </c>
      <c r="T154" s="280">
        <f>MMULT(INDEX(ReportAssetWeightsAdverse,ROW()-ROW(T$135),1):INDEX(ReportAssetWeightsAdverse,ROW()-ROW(T$135),NumberOfAssets),INT(INDEX(tblAssetMenuSpecs[Is Real Estate US],1):(INDEX(tblAssetMenuSpecs[Is Real Estate US],NumberOfAssets))))</f>
        <v>0</v>
      </c>
      <c r="U154" s="280">
        <f>MMULT(INDEX(ReportAssetWeightsAdverse,ROW()-ROW(U$135),1):INDEX(ReportAssetWeightsAdverse,ROW()-ROW(U$135),NumberOfAssets),INT(INDEX(tblAssetMenuSpecs[Is Real Estate Other Developed Markets],1):(INDEX(tblAssetMenuSpecs[Is Real Estate Other Developed Markets],NumberOfAssets))))</f>
        <v>0</v>
      </c>
      <c r="V154" s="280">
        <f>MMULT(INDEX(ReportAssetWeightsAdverse,ROW()-ROW(V$135),1):INDEX(ReportAssetWeightsAdverse,ROW()-ROW(V$135),NumberOfAssets),INT(INDEX(tblAssetMenuSpecs[Is Real Estate Commercial EU (non-leveraged)],1):(INDEX(tblAssetMenuSpecs[Is Real Estate Commercial EU (non-leveraged)],NumberOfAssets))))</f>
        <v>0</v>
      </c>
      <c r="W154" s="280">
        <f>MMULT(INDEX(ReportAssetWeightsAdverse,ROW()-ROW(W$135),1):INDEX(ReportAssetWeightsAdverse,ROW()-ROW(W$135),NumberOfAssets),INT(INDEX(tblAssetMenuSpecs[Is Real Estate Residential EU (non-leveraged)],1):(INDEX(tblAssetMenuSpecs[Is Real Estate Residential EU (non-leveraged)],NumberOfAssets))))</f>
        <v>0</v>
      </c>
      <c r="X154" s="280">
        <f>MMULT(INDEX(ReportAssetWeightsAdverse,ROW()-ROW(X$135),1):INDEX(ReportAssetWeightsAdverse,ROW()-ROW(X$135),NumberOfAssets),INT(INDEX(tblAssetMenuSpecs[Is Government Bond EU],1):(INDEX(tblAssetMenuSpecs[Is Government Bond EU],NumberOfAssets))))</f>
        <v>0</v>
      </c>
      <c r="Y154" s="280">
        <f>MMULT(INDEX(ReportAssetWeightsAdverse,ROW()-ROW(Y$135),1):INDEX(ReportAssetWeightsAdverse,ROW()-ROW(Y$135),NumberOfAssets),INT(INDEX(tblAssetMenuSpecs[Is Government Bond US],1):(INDEX(tblAssetMenuSpecs[Is Government Bond US],NumberOfAssets))))</f>
        <v>0</v>
      </c>
      <c r="Z154" s="280">
        <f>MMULT(INDEX(ReportAssetWeightsAdverse,ROW()-ROW(Z$135),1):INDEX(ReportAssetWeightsAdverse,ROW()-ROW(Z$135),NumberOfAssets),INT(INDEX(tblAssetMenuSpecs[Is Government Bond Other Developed Markets],1):(INDEX(tblAssetMenuSpecs[Is Government Bond Other Developed Markets],NumberOfAssets))))</f>
        <v>0</v>
      </c>
      <c r="AA154" s="280">
        <f>MMULT(INDEX(ReportAssetWeightsAdverse,ROW()-ROW(AA$135),1):INDEX(ReportAssetWeightsAdverse,ROW()-ROW(AA$135),NumberOfAssets),INT(INDEX(tblAssetMenuSpecs[Is Government Bond Emerging Markets],1):(INDEX(tblAssetMenuSpecs[Is Government Bond Emerging Markets],NumberOfAssets))))</f>
        <v>0</v>
      </c>
      <c r="AB154" s="280">
        <f>MMULT(INDEX(ReportAssetWeightsAdverse,ROW()-ROW(AB$135),1):INDEX(ReportAssetWeightsAdverse,ROW()-ROW(AB$135),NumberOfAssets),INT(INDEX(tblAssetMenuSpecs[Is Corporate Bond],1):(INDEX(tblAssetMenuSpecs[Is Corporate Bond],NumberOfAssets))))</f>
        <v>0</v>
      </c>
      <c r="AC154" s="280">
        <f>MMULT(INDEX(ReportAssetWeightsAdverse,ROW()-ROW(AC$135),1):INDEX(ReportAssetWeightsAdverse,ROW()-ROW(AC$135),NumberOfAssets),INT(INDEX(tblAssetMenuSpecs[Is Corporate Bond Non-Financial],1):(INDEX(tblAssetMenuSpecs[Is Corporate Bond Non-Financial],NumberOfAssets))))</f>
        <v>0</v>
      </c>
      <c r="AD154" s="280">
        <f>MMULT(INDEX(ReportAssetWeightsAdverse,ROW()-ROW(AD$135),1):INDEX(ReportAssetWeightsAdverse,ROW()-ROW(AD$135),NumberOfAssets),INT(INDEX(tblAssetMenuSpecs[Is Corporate Bond Financial],1):(INDEX(tblAssetMenuSpecs[Is Corporate Bond Financial],NumberOfAssets))))</f>
        <v>0</v>
      </c>
      <c r="AE154" s="280">
        <f>MMULT(INDEX(ReportAssetWeightsAdverse,ROW()-ROW(AE$135),1):INDEX(ReportAssetWeightsAdverse,ROW()-ROW(AE$135),NumberOfAssets),INT(INDEX(tblAssetMenuSpecs[Is Cash and Deposits],1):(INDEX(tblAssetMenuSpecs[Is Cash and Deposits],NumberOfAssets))))</f>
        <v>1</v>
      </c>
    </row>
    <row r="155" spans="6:31" x14ac:dyDescent="0.25">
      <c r="F155" s="278">
        <f t="shared" si="1"/>
        <v>16</v>
      </c>
      <c r="G155" s="279">
        <f>MMULT(INDEX(ReportAssetWeightsAdverse,ROW()-ROW(G$135),1):INDEX(ReportAssetWeightsAdverse,ROW()-ROW(G$135),NumberOfAssets),INT(INDEX(tblAssetMenuSpecs[IsEquities],1):(INDEX(tblAssetMenuSpecs[IsEquities],NumberOfAssets))))</f>
        <v>0</v>
      </c>
      <c r="H155" s="279">
        <f>MMULT(INDEX(ReportAssetWeightsAdverse,ROW()-ROW(H$135),1):INDEX(ReportAssetWeightsAdverse,ROW()-ROW(H$135),NumberOfAssets),INT(INDEX(tblAssetMenuSpecs[IsRealEstate],1):(INDEX(tblAssetMenuSpecs[IsRealEstate],NumberOfAssets))))</f>
        <v>0</v>
      </c>
      <c r="I155" s="279">
        <f>MMULT(INDEX(ReportAssetWeightsAdverse,ROW()-ROW(I$135),1):INDEX(ReportAssetWeightsAdverse,ROW()-ROW(I$135),NumberOfAssets),INT(INDEX(tblAssetMenuSpecs[IsAlternatives],1):(INDEX(tblAssetMenuSpecs[IsAlternatives],NumberOfAssets))))</f>
        <v>0</v>
      </c>
      <c r="J155" s="279">
        <f>MMULT(INDEX(ReportAssetWeightsAdverse,ROW()-ROW(J$135),1):INDEX(ReportAssetWeightsAdverse,ROW()-ROW(J$135),NumberOfAssets),INT(INDEX(tblAssetMenuSpecs[IsFixedIncome],1):(INDEX(tblAssetMenuSpecs[IsFixedIncome],NumberOfAssets))))</f>
        <v>1</v>
      </c>
      <c r="L155" s="280">
        <f>MMULT(INDEX(ReportAssetWeightsAdverse,ROW()-ROW(L$135),1):INDEX(ReportAssetWeightsAdverse,ROW()-ROW(L$135),NumberOfAssets),INT(INDEX(tblAssetMenuSpecs[Is Equities EU],1):(INDEX(tblAssetMenuSpecs[Is Equities EU],NumberOfAssets))))</f>
        <v>0</v>
      </c>
      <c r="M155" s="280">
        <f>MMULT(INDEX(ReportAssetWeightsAdverse,ROW()-ROW(M$135),1):INDEX(ReportAssetWeightsAdverse,ROW()-ROW(M$135),NumberOfAssets),INT(INDEX(tblAssetMenuSpecs[Is Equities US],1):(INDEX(tblAssetMenuSpecs[Is Equities US],NumberOfAssets))))</f>
        <v>0</v>
      </c>
      <c r="N155" s="280">
        <f>MMULT(INDEX(ReportAssetWeightsAdverse,ROW()-ROW(N$135),1):INDEX(ReportAssetWeightsAdverse,ROW()-ROW(N$135),NumberOfAssets),INT(INDEX(tblAssetMenuSpecs[Is Equities Other Developed Markets],1):(INDEX(tblAssetMenuSpecs[Is Equities Other Developed Markets],NumberOfAssets))))</f>
        <v>0</v>
      </c>
      <c r="O155" s="280">
        <f>MMULT(INDEX(ReportAssetWeightsAdverse,ROW()-ROW(O$135),1):INDEX(ReportAssetWeightsAdverse,ROW()-ROW(O$135),NumberOfAssets),INT(INDEX(tblAssetMenuSpecs[Is Equities Emerging Markets],1):(INDEX(tblAssetMenuSpecs[Is Equities Emerging Markets],NumberOfAssets))))</f>
        <v>0</v>
      </c>
      <c r="P155" s="280">
        <f>MMULT(INDEX(ReportAssetWeightsAdverse,ROW()-ROW(P$135),1):INDEX(ReportAssetWeightsAdverse,ROW()-ROW(P$135),NumberOfAssets),INT(INDEX(tblAssetMenuSpecs[Is Commodities],1):(INDEX(tblAssetMenuSpecs[Is Commodities],NumberOfAssets))))</f>
        <v>0</v>
      </c>
      <c r="Q155" s="280">
        <f>MMULT(INDEX(ReportAssetWeightsAdverse,ROW()-ROW(Q$135),1):INDEX(ReportAssetWeightsAdverse,ROW()-ROW(Q$135),NumberOfAssets),INT(INDEX(tblAssetMenuSpecs[Is Private Equity],1):(INDEX(tblAssetMenuSpecs[Is Private Equity],NumberOfAssets))))</f>
        <v>0</v>
      </c>
      <c r="R155" s="280">
        <f>MMULT(INDEX(ReportAssetWeightsAdverse,ROW()-ROW(R$135),1):INDEX(ReportAssetWeightsAdverse,ROW()-ROW(R$135),NumberOfAssets),INT(INDEX(tblAssetMenuSpecs[Is Hedge Funds],1):(INDEX(tblAssetMenuSpecs[Is Hedge Funds],NumberOfAssets))))</f>
        <v>0</v>
      </c>
      <c r="S155" s="280">
        <f>MMULT(INDEX(ReportAssetWeightsAdverse,ROW()-ROW(S$135),1):INDEX(ReportAssetWeightsAdverse,ROW()-ROW(S$135),NumberOfAssets),INT(INDEX(tblAssetMenuSpecs[Is Real Estate EU],1):(INDEX(tblAssetMenuSpecs[Is Real Estate EU],NumberOfAssets))))</f>
        <v>0</v>
      </c>
      <c r="T155" s="280">
        <f>MMULT(INDEX(ReportAssetWeightsAdverse,ROW()-ROW(T$135),1):INDEX(ReportAssetWeightsAdverse,ROW()-ROW(T$135),NumberOfAssets),INT(INDEX(tblAssetMenuSpecs[Is Real Estate US],1):(INDEX(tblAssetMenuSpecs[Is Real Estate US],NumberOfAssets))))</f>
        <v>0</v>
      </c>
      <c r="U155" s="280">
        <f>MMULT(INDEX(ReportAssetWeightsAdverse,ROW()-ROW(U$135),1):INDEX(ReportAssetWeightsAdverse,ROW()-ROW(U$135),NumberOfAssets),INT(INDEX(tblAssetMenuSpecs[Is Real Estate Other Developed Markets],1):(INDEX(tblAssetMenuSpecs[Is Real Estate Other Developed Markets],NumberOfAssets))))</f>
        <v>0</v>
      </c>
      <c r="V155" s="280">
        <f>MMULT(INDEX(ReportAssetWeightsAdverse,ROW()-ROW(V$135),1):INDEX(ReportAssetWeightsAdverse,ROW()-ROW(V$135),NumberOfAssets),INT(INDEX(tblAssetMenuSpecs[Is Real Estate Commercial EU (non-leveraged)],1):(INDEX(tblAssetMenuSpecs[Is Real Estate Commercial EU (non-leveraged)],NumberOfAssets))))</f>
        <v>0</v>
      </c>
      <c r="W155" s="280">
        <f>MMULT(INDEX(ReportAssetWeightsAdverse,ROW()-ROW(W$135),1):INDEX(ReportAssetWeightsAdverse,ROW()-ROW(W$135),NumberOfAssets),INT(INDEX(tblAssetMenuSpecs[Is Real Estate Residential EU (non-leveraged)],1):(INDEX(tblAssetMenuSpecs[Is Real Estate Residential EU (non-leveraged)],NumberOfAssets))))</f>
        <v>0</v>
      </c>
      <c r="X155" s="280">
        <f>MMULT(INDEX(ReportAssetWeightsAdverse,ROW()-ROW(X$135),1):INDEX(ReportAssetWeightsAdverse,ROW()-ROW(X$135),NumberOfAssets),INT(INDEX(tblAssetMenuSpecs[Is Government Bond EU],1):(INDEX(tblAssetMenuSpecs[Is Government Bond EU],NumberOfAssets))))</f>
        <v>0</v>
      </c>
      <c r="Y155" s="280">
        <f>MMULT(INDEX(ReportAssetWeightsAdverse,ROW()-ROW(Y$135),1):INDEX(ReportAssetWeightsAdverse,ROW()-ROW(Y$135),NumberOfAssets),INT(INDEX(tblAssetMenuSpecs[Is Government Bond US],1):(INDEX(tblAssetMenuSpecs[Is Government Bond US],NumberOfAssets))))</f>
        <v>0</v>
      </c>
      <c r="Z155" s="280">
        <f>MMULT(INDEX(ReportAssetWeightsAdverse,ROW()-ROW(Z$135),1):INDEX(ReportAssetWeightsAdverse,ROW()-ROW(Z$135),NumberOfAssets),INT(INDEX(tblAssetMenuSpecs[Is Government Bond Other Developed Markets],1):(INDEX(tblAssetMenuSpecs[Is Government Bond Other Developed Markets],NumberOfAssets))))</f>
        <v>0</v>
      </c>
      <c r="AA155" s="280">
        <f>MMULT(INDEX(ReportAssetWeightsAdverse,ROW()-ROW(AA$135),1):INDEX(ReportAssetWeightsAdverse,ROW()-ROW(AA$135),NumberOfAssets),INT(INDEX(tblAssetMenuSpecs[Is Government Bond Emerging Markets],1):(INDEX(tblAssetMenuSpecs[Is Government Bond Emerging Markets],NumberOfAssets))))</f>
        <v>0</v>
      </c>
      <c r="AB155" s="280">
        <f>MMULT(INDEX(ReportAssetWeightsAdverse,ROW()-ROW(AB$135),1):INDEX(ReportAssetWeightsAdverse,ROW()-ROW(AB$135),NumberOfAssets),INT(INDEX(tblAssetMenuSpecs[Is Corporate Bond],1):(INDEX(tblAssetMenuSpecs[Is Corporate Bond],NumberOfAssets))))</f>
        <v>0</v>
      </c>
      <c r="AC155" s="280">
        <f>MMULT(INDEX(ReportAssetWeightsAdverse,ROW()-ROW(AC$135),1):INDEX(ReportAssetWeightsAdverse,ROW()-ROW(AC$135),NumberOfAssets),INT(INDEX(tblAssetMenuSpecs[Is Corporate Bond Non-Financial],1):(INDEX(tblAssetMenuSpecs[Is Corporate Bond Non-Financial],NumberOfAssets))))</f>
        <v>0</v>
      </c>
      <c r="AD155" s="280">
        <f>MMULT(INDEX(ReportAssetWeightsAdverse,ROW()-ROW(AD$135),1):INDEX(ReportAssetWeightsAdverse,ROW()-ROW(AD$135),NumberOfAssets),INT(INDEX(tblAssetMenuSpecs[Is Corporate Bond Financial],1):(INDEX(tblAssetMenuSpecs[Is Corporate Bond Financial],NumberOfAssets))))</f>
        <v>0</v>
      </c>
      <c r="AE155" s="280">
        <f>MMULT(INDEX(ReportAssetWeightsAdverse,ROW()-ROW(AE$135),1):INDEX(ReportAssetWeightsAdverse,ROW()-ROW(AE$135),NumberOfAssets),INT(INDEX(tblAssetMenuSpecs[Is Cash and Deposits],1):(INDEX(tblAssetMenuSpecs[Is Cash and Deposits],NumberOfAssets))))</f>
        <v>1</v>
      </c>
    </row>
    <row r="156" spans="6:31" x14ac:dyDescent="0.25">
      <c r="F156" s="278">
        <f t="shared" si="1"/>
        <v>15</v>
      </c>
      <c r="G156" s="279">
        <f>MMULT(INDEX(ReportAssetWeightsAdverse,ROW()-ROW(G$135),1):INDEX(ReportAssetWeightsAdverse,ROW()-ROW(G$135),NumberOfAssets),INT(INDEX(tblAssetMenuSpecs[IsEquities],1):(INDEX(tblAssetMenuSpecs[IsEquities],NumberOfAssets))))</f>
        <v>0</v>
      </c>
      <c r="H156" s="279">
        <f>MMULT(INDEX(ReportAssetWeightsAdverse,ROW()-ROW(H$135),1):INDEX(ReportAssetWeightsAdverse,ROW()-ROW(H$135),NumberOfAssets),INT(INDEX(tblAssetMenuSpecs[IsRealEstate],1):(INDEX(tblAssetMenuSpecs[IsRealEstate],NumberOfAssets))))</f>
        <v>0</v>
      </c>
      <c r="I156" s="279">
        <f>MMULT(INDEX(ReportAssetWeightsAdverse,ROW()-ROW(I$135),1):INDEX(ReportAssetWeightsAdverse,ROW()-ROW(I$135),NumberOfAssets),INT(INDEX(tblAssetMenuSpecs[IsAlternatives],1):(INDEX(tblAssetMenuSpecs[IsAlternatives],NumberOfAssets))))</f>
        <v>0</v>
      </c>
      <c r="J156" s="279">
        <f>MMULT(INDEX(ReportAssetWeightsAdverse,ROW()-ROW(J$135),1):INDEX(ReportAssetWeightsAdverse,ROW()-ROW(J$135),NumberOfAssets),INT(INDEX(tblAssetMenuSpecs[IsFixedIncome],1):(INDEX(tblAssetMenuSpecs[IsFixedIncome],NumberOfAssets))))</f>
        <v>1</v>
      </c>
      <c r="L156" s="280">
        <f>MMULT(INDEX(ReportAssetWeightsAdverse,ROW()-ROW(L$135),1):INDEX(ReportAssetWeightsAdverse,ROW()-ROW(L$135),NumberOfAssets),INT(INDEX(tblAssetMenuSpecs[Is Equities EU],1):(INDEX(tblAssetMenuSpecs[Is Equities EU],NumberOfAssets))))</f>
        <v>0</v>
      </c>
      <c r="M156" s="280">
        <f>MMULT(INDEX(ReportAssetWeightsAdverse,ROW()-ROW(M$135),1):INDEX(ReportAssetWeightsAdverse,ROW()-ROW(M$135),NumberOfAssets),INT(INDEX(tblAssetMenuSpecs[Is Equities US],1):(INDEX(tblAssetMenuSpecs[Is Equities US],NumberOfAssets))))</f>
        <v>0</v>
      </c>
      <c r="N156" s="280">
        <f>MMULT(INDEX(ReportAssetWeightsAdverse,ROW()-ROW(N$135),1):INDEX(ReportAssetWeightsAdverse,ROW()-ROW(N$135),NumberOfAssets),INT(INDEX(tblAssetMenuSpecs[Is Equities Other Developed Markets],1):(INDEX(tblAssetMenuSpecs[Is Equities Other Developed Markets],NumberOfAssets))))</f>
        <v>0</v>
      </c>
      <c r="O156" s="280">
        <f>MMULT(INDEX(ReportAssetWeightsAdverse,ROW()-ROW(O$135),1):INDEX(ReportAssetWeightsAdverse,ROW()-ROW(O$135),NumberOfAssets),INT(INDEX(tblAssetMenuSpecs[Is Equities Emerging Markets],1):(INDEX(tblAssetMenuSpecs[Is Equities Emerging Markets],NumberOfAssets))))</f>
        <v>0</v>
      </c>
      <c r="P156" s="280">
        <f>MMULT(INDEX(ReportAssetWeightsAdverse,ROW()-ROW(P$135),1):INDEX(ReportAssetWeightsAdverse,ROW()-ROW(P$135),NumberOfAssets),INT(INDEX(tblAssetMenuSpecs[Is Commodities],1):(INDEX(tblAssetMenuSpecs[Is Commodities],NumberOfAssets))))</f>
        <v>0</v>
      </c>
      <c r="Q156" s="280">
        <f>MMULT(INDEX(ReportAssetWeightsAdverse,ROW()-ROW(Q$135),1):INDEX(ReportAssetWeightsAdverse,ROW()-ROW(Q$135),NumberOfAssets),INT(INDEX(tblAssetMenuSpecs[Is Private Equity],1):(INDEX(tblAssetMenuSpecs[Is Private Equity],NumberOfAssets))))</f>
        <v>0</v>
      </c>
      <c r="R156" s="280">
        <f>MMULT(INDEX(ReportAssetWeightsAdverse,ROW()-ROW(R$135),1):INDEX(ReportAssetWeightsAdverse,ROW()-ROW(R$135),NumberOfAssets),INT(INDEX(tblAssetMenuSpecs[Is Hedge Funds],1):(INDEX(tblAssetMenuSpecs[Is Hedge Funds],NumberOfAssets))))</f>
        <v>0</v>
      </c>
      <c r="S156" s="280">
        <f>MMULT(INDEX(ReportAssetWeightsAdverse,ROW()-ROW(S$135),1):INDEX(ReportAssetWeightsAdverse,ROW()-ROW(S$135),NumberOfAssets),INT(INDEX(tblAssetMenuSpecs[Is Real Estate EU],1):(INDEX(tblAssetMenuSpecs[Is Real Estate EU],NumberOfAssets))))</f>
        <v>0</v>
      </c>
      <c r="T156" s="280">
        <f>MMULT(INDEX(ReportAssetWeightsAdverse,ROW()-ROW(T$135),1):INDEX(ReportAssetWeightsAdverse,ROW()-ROW(T$135),NumberOfAssets),INT(INDEX(tblAssetMenuSpecs[Is Real Estate US],1):(INDEX(tblAssetMenuSpecs[Is Real Estate US],NumberOfAssets))))</f>
        <v>0</v>
      </c>
      <c r="U156" s="280">
        <f>MMULT(INDEX(ReportAssetWeightsAdverse,ROW()-ROW(U$135),1):INDEX(ReportAssetWeightsAdverse,ROW()-ROW(U$135),NumberOfAssets),INT(INDEX(tblAssetMenuSpecs[Is Real Estate Other Developed Markets],1):(INDEX(tblAssetMenuSpecs[Is Real Estate Other Developed Markets],NumberOfAssets))))</f>
        <v>0</v>
      </c>
      <c r="V156" s="280">
        <f>MMULT(INDEX(ReportAssetWeightsAdverse,ROW()-ROW(V$135),1):INDEX(ReportAssetWeightsAdverse,ROW()-ROW(V$135),NumberOfAssets),INT(INDEX(tblAssetMenuSpecs[Is Real Estate Commercial EU (non-leveraged)],1):(INDEX(tblAssetMenuSpecs[Is Real Estate Commercial EU (non-leveraged)],NumberOfAssets))))</f>
        <v>0</v>
      </c>
      <c r="W156" s="280">
        <f>MMULT(INDEX(ReportAssetWeightsAdverse,ROW()-ROW(W$135),1):INDEX(ReportAssetWeightsAdverse,ROW()-ROW(W$135),NumberOfAssets),INT(INDEX(tblAssetMenuSpecs[Is Real Estate Residential EU (non-leveraged)],1):(INDEX(tblAssetMenuSpecs[Is Real Estate Residential EU (non-leveraged)],NumberOfAssets))))</f>
        <v>0</v>
      </c>
      <c r="X156" s="280">
        <f>MMULT(INDEX(ReportAssetWeightsAdverse,ROW()-ROW(X$135),1):INDEX(ReportAssetWeightsAdverse,ROW()-ROW(X$135),NumberOfAssets),INT(INDEX(tblAssetMenuSpecs[Is Government Bond EU],1):(INDEX(tblAssetMenuSpecs[Is Government Bond EU],NumberOfAssets))))</f>
        <v>0</v>
      </c>
      <c r="Y156" s="280">
        <f>MMULT(INDEX(ReportAssetWeightsAdverse,ROW()-ROW(Y$135),1):INDEX(ReportAssetWeightsAdverse,ROW()-ROW(Y$135),NumberOfAssets),INT(INDEX(tblAssetMenuSpecs[Is Government Bond US],1):(INDEX(tblAssetMenuSpecs[Is Government Bond US],NumberOfAssets))))</f>
        <v>0</v>
      </c>
      <c r="Z156" s="280">
        <f>MMULT(INDEX(ReportAssetWeightsAdverse,ROW()-ROW(Z$135),1):INDEX(ReportAssetWeightsAdverse,ROW()-ROW(Z$135),NumberOfAssets),INT(INDEX(tblAssetMenuSpecs[Is Government Bond Other Developed Markets],1):(INDEX(tblAssetMenuSpecs[Is Government Bond Other Developed Markets],NumberOfAssets))))</f>
        <v>0</v>
      </c>
      <c r="AA156" s="280">
        <f>MMULT(INDEX(ReportAssetWeightsAdverse,ROW()-ROW(AA$135),1):INDEX(ReportAssetWeightsAdverse,ROW()-ROW(AA$135),NumberOfAssets),INT(INDEX(tblAssetMenuSpecs[Is Government Bond Emerging Markets],1):(INDEX(tblAssetMenuSpecs[Is Government Bond Emerging Markets],NumberOfAssets))))</f>
        <v>0</v>
      </c>
      <c r="AB156" s="280">
        <f>MMULT(INDEX(ReportAssetWeightsAdverse,ROW()-ROW(AB$135),1):INDEX(ReportAssetWeightsAdverse,ROW()-ROW(AB$135),NumberOfAssets),INT(INDEX(tblAssetMenuSpecs[Is Corporate Bond],1):(INDEX(tblAssetMenuSpecs[Is Corporate Bond],NumberOfAssets))))</f>
        <v>0</v>
      </c>
      <c r="AC156" s="280">
        <f>MMULT(INDEX(ReportAssetWeightsAdverse,ROW()-ROW(AC$135),1):INDEX(ReportAssetWeightsAdverse,ROW()-ROW(AC$135),NumberOfAssets),INT(INDEX(tblAssetMenuSpecs[Is Corporate Bond Non-Financial],1):(INDEX(tblAssetMenuSpecs[Is Corporate Bond Non-Financial],NumberOfAssets))))</f>
        <v>0</v>
      </c>
      <c r="AD156" s="280">
        <f>MMULT(INDEX(ReportAssetWeightsAdverse,ROW()-ROW(AD$135),1):INDEX(ReportAssetWeightsAdverse,ROW()-ROW(AD$135),NumberOfAssets),INT(INDEX(tblAssetMenuSpecs[Is Corporate Bond Financial],1):(INDEX(tblAssetMenuSpecs[Is Corporate Bond Financial],NumberOfAssets))))</f>
        <v>0</v>
      </c>
      <c r="AE156" s="280">
        <f>MMULT(INDEX(ReportAssetWeightsAdverse,ROW()-ROW(AE$135),1):INDEX(ReportAssetWeightsAdverse,ROW()-ROW(AE$135),NumberOfAssets),INT(INDEX(tblAssetMenuSpecs[Is Cash and Deposits],1):(INDEX(tblAssetMenuSpecs[Is Cash and Deposits],NumberOfAssets))))</f>
        <v>1</v>
      </c>
    </row>
    <row r="157" spans="6:31" x14ac:dyDescent="0.25">
      <c r="F157" s="278">
        <f t="shared" si="1"/>
        <v>14</v>
      </c>
      <c r="G157" s="279">
        <f>MMULT(INDEX(ReportAssetWeightsAdverse,ROW()-ROW(G$135),1):INDEX(ReportAssetWeightsAdverse,ROW()-ROW(G$135),NumberOfAssets),INT(INDEX(tblAssetMenuSpecs[IsEquities],1):(INDEX(tblAssetMenuSpecs[IsEquities],NumberOfAssets))))</f>
        <v>0</v>
      </c>
      <c r="H157" s="279">
        <f>MMULT(INDEX(ReportAssetWeightsAdverse,ROW()-ROW(H$135),1):INDEX(ReportAssetWeightsAdverse,ROW()-ROW(H$135),NumberOfAssets),INT(INDEX(tblAssetMenuSpecs[IsRealEstate],1):(INDEX(tblAssetMenuSpecs[IsRealEstate],NumberOfAssets))))</f>
        <v>0</v>
      </c>
      <c r="I157" s="279">
        <f>MMULT(INDEX(ReportAssetWeightsAdverse,ROW()-ROW(I$135),1):INDEX(ReportAssetWeightsAdverse,ROW()-ROW(I$135),NumberOfAssets),INT(INDEX(tblAssetMenuSpecs[IsAlternatives],1):(INDEX(tblAssetMenuSpecs[IsAlternatives],NumberOfAssets))))</f>
        <v>0</v>
      </c>
      <c r="J157" s="279">
        <f>MMULT(INDEX(ReportAssetWeightsAdverse,ROW()-ROW(J$135),1):INDEX(ReportAssetWeightsAdverse,ROW()-ROW(J$135),NumberOfAssets),INT(INDEX(tblAssetMenuSpecs[IsFixedIncome],1):(INDEX(tblAssetMenuSpecs[IsFixedIncome],NumberOfAssets))))</f>
        <v>1</v>
      </c>
      <c r="L157" s="280">
        <f>MMULT(INDEX(ReportAssetWeightsAdverse,ROW()-ROW(L$135),1):INDEX(ReportAssetWeightsAdverse,ROW()-ROW(L$135),NumberOfAssets),INT(INDEX(tblAssetMenuSpecs[Is Equities EU],1):(INDEX(tblAssetMenuSpecs[Is Equities EU],NumberOfAssets))))</f>
        <v>0</v>
      </c>
      <c r="M157" s="280">
        <f>MMULT(INDEX(ReportAssetWeightsAdverse,ROW()-ROW(M$135),1):INDEX(ReportAssetWeightsAdverse,ROW()-ROW(M$135),NumberOfAssets),INT(INDEX(tblAssetMenuSpecs[Is Equities US],1):(INDEX(tblAssetMenuSpecs[Is Equities US],NumberOfAssets))))</f>
        <v>0</v>
      </c>
      <c r="N157" s="280">
        <f>MMULT(INDEX(ReportAssetWeightsAdverse,ROW()-ROW(N$135),1):INDEX(ReportAssetWeightsAdverse,ROW()-ROW(N$135),NumberOfAssets),INT(INDEX(tblAssetMenuSpecs[Is Equities Other Developed Markets],1):(INDEX(tblAssetMenuSpecs[Is Equities Other Developed Markets],NumberOfAssets))))</f>
        <v>0</v>
      </c>
      <c r="O157" s="280">
        <f>MMULT(INDEX(ReportAssetWeightsAdverse,ROW()-ROW(O$135),1):INDEX(ReportAssetWeightsAdverse,ROW()-ROW(O$135),NumberOfAssets),INT(INDEX(tblAssetMenuSpecs[Is Equities Emerging Markets],1):(INDEX(tblAssetMenuSpecs[Is Equities Emerging Markets],NumberOfAssets))))</f>
        <v>0</v>
      </c>
      <c r="P157" s="280">
        <f>MMULT(INDEX(ReportAssetWeightsAdverse,ROW()-ROW(P$135),1):INDEX(ReportAssetWeightsAdverse,ROW()-ROW(P$135),NumberOfAssets),INT(INDEX(tblAssetMenuSpecs[Is Commodities],1):(INDEX(tblAssetMenuSpecs[Is Commodities],NumberOfAssets))))</f>
        <v>0</v>
      </c>
      <c r="Q157" s="280">
        <f>MMULT(INDEX(ReportAssetWeightsAdverse,ROW()-ROW(Q$135),1):INDEX(ReportAssetWeightsAdverse,ROW()-ROW(Q$135),NumberOfAssets),INT(INDEX(tblAssetMenuSpecs[Is Private Equity],1):(INDEX(tblAssetMenuSpecs[Is Private Equity],NumberOfAssets))))</f>
        <v>0</v>
      </c>
      <c r="R157" s="280">
        <f>MMULT(INDEX(ReportAssetWeightsAdverse,ROW()-ROW(R$135),1):INDEX(ReportAssetWeightsAdverse,ROW()-ROW(R$135),NumberOfAssets),INT(INDEX(tblAssetMenuSpecs[Is Hedge Funds],1):(INDEX(tblAssetMenuSpecs[Is Hedge Funds],NumberOfAssets))))</f>
        <v>0</v>
      </c>
      <c r="S157" s="280">
        <f>MMULT(INDEX(ReportAssetWeightsAdverse,ROW()-ROW(S$135),1):INDEX(ReportAssetWeightsAdverse,ROW()-ROW(S$135),NumberOfAssets),INT(INDEX(tblAssetMenuSpecs[Is Real Estate EU],1):(INDEX(tblAssetMenuSpecs[Is Real Estate EU],NumberOfAssets))))</f>
        <v>0</v>
      </c>
      <c r="T157" s="280">
        <f>MMULT(INDEX(ReportAssetWeightsAdverse,ROW()-ROW(T$135),1):INDEX(ReportAssetWeightsAdverse,ROW()-ROW(T$135),NumberOfAssets),INT(INDEX(tblAssetMenuSpecs[Is Real Estate US],1):(INDEX(tblAssetMenuSpecs[Is Real Estate US],NumberOfAssets))))</f>
        <v>0</v>
      </c>
      <c r="U157" s="280">
        <f>MMULT(INDEX(ReportAssetWeightsAdverse,ROW()-ROW(U$135),1):INDEX(ReportAssetWeightsAdverse,ROW()-ROW(U$135),NumberOfAssets),INT(INDEX(tblAssetMenuSpecs[Is Real Estate Other Developed Markets],1):(INDEX(tblAssetMenuSpecs[Is Real Estate Other Developed Markets],NumberOfAssets))))</f>
        <v>0</v>
      </c>
      <c r="V157" s="280">
        <f>MMULT(INDEX(ReportAssetWeightsAdverse,ROW()-ROW(V$135),1):INDEX(ReportAssetWeightsAdverse,ROW()-ROW(V$135),NumberOfAssets),INT(INDEX(tblAssetMenuSpecs[Is Real Estate Commercial EU (non-leveraged)],1):(INDEX(tblAssetMenuSpecs[Is Real Estate Commercial EU (non-leveraged)],NumberOfAssets))))</f>
        <v>0</v>
      </c>
      <c r="W157" s="280">
        <f>MMULT(INDEX(ReportAssetWeightsAdverse,ROW()-ROW(W$135),1):INDEX(ReportAssetWeightsAdverse,ROW()-ROW(W$135),NumberOfAssets),INT(INDEX(tblAssetMenuSpecs[Is Real Estate Residential EU (non-leveraged)],1):(INDEX(tblAssetMenuSpecs[Is Real Estate Residential EU (non-leveraged)],NumberOfAssets))))</f>
        <v>0</v>
      </c>
      <c r="X157" s="280">
        <f>MMULT(INDEX(ReportAssetWeightsAdverse,ROW()-ROW(X$135),1):INDEX(ReportAssetWeightsAdverse,ROW()-ROW(X$135),NumberOfAssets),INT(INDEX(tblAssetMenuSpecs[Is Government Bond EU],1):(INDEX(tblAssetMenuSpecs[Is Government Bond EU],NumberOfAssets))))</f>
        <v>0</v>
      </c>
      <c r="Y157" s="280">
        <f>MMULT(INDEX(ReportAssetWeightsAdverse,ROW()-ROW(Y$135),1):INDEX(ReportAssetWeightsAdverse,ROW()-ROW(Y$135),NumberOfAssets),INT(INDEX(tblAssetMenuSpecs[Is Government Bond US],1):(INDEX(tblAssetMenuSpecs[Is Government Bond US],NumberOfAssets))))</f>
        <v>0</v>
      </c>
      <c r="Z157" s="280">
        <f>MMULT(INDEX(ReportAssetWeightsAdverse,ROW()-ROW(Z$135),1):INDEX(ReportAssetWeightsAdverse,ROW()-ROW(Z$135),NumberOfAssets),INT(INDEX(tblAssetMenuSpecs[Is Government Bond Other Developed Markets],1):(INDEX(tblAssetMenuSpecs[Is Government Bond Other Developed Markets],NumberOfAssets))))</f>
        <v>0</v>
      </c>
      <c r="AA157" s="280">
        <f>MMULT(INDEX(ReportAssetWeightsAdverse,ROW()-ROW(AA$135),1):INDEX(ReportAssetWeightsAdverse,ROW()-ROW(AA$135),NumberOfAssets),INT(INDEX(tblAssetMenuSpecs[Is Government Bond Emerging Markets],1):(INDEX(tblAssetMenuSpecs[Is Government Bond Emerging Markets],NumberOfAssets))))</f>
        <v>0</v>
      </c>
      <c r="AB157" s="280">
        <f>MMULT(INDEX(ReportAssetWeightsAdverse,ROW()-ROW(AB$135),1):INDEX(ReportAssetWeightsAdverse,ROW()-ROW(AB$135),NumberOfAssets),INT(INDEX(tblAssetMenuSpecs[Is Corporate Bond],1):(INDEX(tblAssetMenuSpecs[Is Corporate Bond],NumberOfAssets))))</f>
        <v>0</v>
      </c>
      <c r="AC157" s="280">
        <f>MMULT(INDEX(ReportAssetWeightsAdverse,ROW()-ROW(AC$135),1):INDEX(ReportAssetWeightsAdverse,ROW()-ROW(AC$135),NumberOfAssets),INT(INDEX(tblAssetMenuSpecs[Is Corporate Bond Non-Financial],1):(INDEX(tblAssetMenuSpecs[Is Corporate Bond Non-Financial],NumberOfAssets))))</f>
        <v>0</v>
      </c>
      <c r="AD157" s="280">
        <f>MMULT(INDEX(ReportAssetWeightsAdverse,ROW()-ROW(AD$135),1):INDEX(ReportAssetWeightsAdverse,ROW()-ROW(AD$135),NumberOfAssets),INT(INDEX(tblAssetMenuSpecs[Is Corporate Bond Financial],1):(INDEX(tblAssetMenuSpecs[Is Corporate Bond Financial],NumberOfAssets))))</f>
        <v>0</v>
      </c>
      <c r="AE157" s="280">
        <f>MMULT(INDEX(ReportAssetWeightsAdverse,ROW()-ROW(AE$135),1):INDEX(ReportAssetWeightsAdverse,ROW()-ROW(AE$135),NumberOfAssets),INT(INDEX(tblAssetMenuSpecs[Is Cash and Deposits],1):(INDEX(tblAssetMenuSpecs[Is Cash and Deposits],NumberOfAssets))))</f>
        <v>1</v>
      </c>
    </row>
    <row r="158" spans="6:31" x14ac:dyDescent="0.25">
      <c r="F158" s="278">
        <f t="shared" si="1"/>
        <v>13</v>
      </c>
      <c r="G158" s="279">
        <f>MMULT(INDEX(ReportAssetWeightsAdverse,ROW()-ROW(G$135),1):INDEX(ReportAssetWeightsAdverse,ROW()-ROW(G$135),NumberOfAssets),INT(INDEX(tblAssetMenuSpecs[IsEquities],1):(INDEX(tblAssetMenuSpecs[IsEquities],NumberOfAssets))))</f>
        <v>0</v>
      </c>
      <c r="H158" s="279">
        <f>MMULT(INDEX(ReportAssetWeightsAdverse,ROW()-ROW(H$135),1):INDEX(ReportAssetWeightsAdverse,ROW()-ROW(H$135),NumberOfAssets),INT(INDEX(tblAssetMenuSpecs[IsRealEstate],1):(INDEX(tblAssetMenuSpecs[IsRealEstate],NumberOfAssets))))</f>
        <v>0</v>
      </c>
      <c r="I158" s="279">
        <f>MMULT(INDEX(ReportAssetWeightsAdverse,ROW()-ROW(I$135),1):INDEX(ReportAssetWeightsAdverse,ROW()-ROW(I$135),NumberOfAssets),INT(INDEX(tblAssetMenuSpecs[IsAlternatives],1):(INDEX(tblAssetMenuSpecs[IsAlternatives],NumberOfAssets))))</f>
        <v>0</v>
      </c>
      <c r="J158" s="279">
        <f>MMULT(INDEX(ReportAssetWeightsAdverse,ROW()-ROW(J$135),1):INDEX(ReportAssetWeightsAdverse,ROW()-ROW(J$135),NumberOfAssets),INT(INDEX(tblAssetMenuSpecs[IsFixedIncome],1):(INDEX(tblAssetMenuSpecs[IsFixedIncome],NumberOfAssets))))</f>
        <v>1</v>
      </c>
      <c r="L158" s="280">
        <f>MMULT(INDEX(ReportAssetWeightsAdverse,ROW()-ROW(L$135),1):INDEX(ReportAssetWeightsAdverse,ROW()-ROW(L$135),NumberOfAssets),INT(INDEX(tblAssetMenuSpecs[Is Equities EU],1):(INDEX(tblAssetMenuSpecs[Is Equities EU],NumberOfAssets))))</f>
        <v>0</v>
      </c>
      <c r="M158" s="280">
        <f>MMULT(INDEX(ReportAssetWeightsAdverse,ROW()-ROW(M$135),1):INDEX(ReportAssetWeightsAdverse,ROW()-ROW(M$135),NumberOfAssets),INT(INDEX(tblAssetMenuSpecs[Is Equities US],1):(INDEX(tblAssetMenuSpecs[Is Equities US],NumberOfAssets))))</f>
        <v>0</v>
      </c>
      <c r="N158" s="280">
        <f>MMULT(INDEX(ReportAssetWeightsAdverse,ROW()-ROW(N$135),1):INDEX(ReportAssetWeightsAdverse,ROW()-ROW(N$135),NumberOfAssets),INT(INDEX(tblAssetMenuSpecs[Is Equities Other Developed Markets],1):(INDEX(tblAssetMenuSpecs[Is Equities Other Developed Markets],NumberOfAssets))))</f>
        <v>0</v>
      </c>
      <c r="O158" s="280">
        <f>MMULT(INDEX(ReportAssetWeightsAdverse,ROW()-ROW(O$135),1):INDEX(ReportAssetWeightsAdverse,ROW()-ROW(O$135),NumberOfAssets),INT(INDEX(tblAssetMenuSpecs[Is Equities Emerging Markets],1):(INDEX(tblAssetMenuSpecs[Is Equities Emerging Markets],NumberOfAssets))))</f>
        <v>0</v>
      </c>
      <c r="P158" s="280">
        <f>MMULT(INDEX(ReportAssetWeightsAdverse,ROW()-ROW(P$135),1):INDEX(ReportAssetWeightsAdverse,ROW()-ROW(P$135),NumberOfAssets),INT(INDEX(tblAssetMenuSpecs[Is Commodities],1):(INDEX(tblAssetMenuSpecs[Is Commodities],NumberOfAssets))))</f>
        <v>0</v>
      </c>
      <c r="Q158" s="280">
        <f>MMULT(INDEX(ReportAssetWeightsAdverse,ROW()-ROW(Q$135),1):INDEX(ReportAssetWeightsAdverse,ROW()-ROW(Q$135),NumberOfAssets),INT(INDEX(tblAssetMenuSpecs[Is Private Equity],1):(INDEX(tblAssetMenuSpecs[Is Private Equity],NumberOfAssets))))</f>
        <v>0</v>
      </c>
      <c r="R158" s="280">
        <f>MMULT(INDEX(ReportAssetWeightsAdverse,ROW()-ROW(R$135),1):INDEX(ReportAssetWeightsAdverse,ROW()-ROW(R$135),NumberOfAssets),INT(INDEX(tblAssetMenuSpecs[Is Hedge Funds],1):(INDEX(tblAssetMenuSpecs[Is Hedge Funds],NumberOfAssets))))</f>
        <v>0</v>
      </c>
      <c r="S158" s="280">
        <f>MMULT(INDEX(ReportAssetWeightsAdverse,ROW()-ROW(S$135),1):INDEX(ReportAssetWeightsAdverse,ROW()-ROW(S$135),NumberOfAssets),INT(INDEX(tblAssetMenuSpecs[Is Real Estate EU],1):(INDEX(tblAssetMenuSpecs[Is Real Estate EU],NumberOfAssets))))</f>
        <v>0</v>
      </c>
      <c r="T158" s="280">
        <f>MMULT(INDEX(ReportAssetWeightsAdverse,ROW()-ROW(T$135),1):INDEX(ReportAssetWeightsAdverse,ROW()-ROW(T$135),NumberOfAssets),INT(INDEX(tblAssetMenuSpecs[Is Real Estate US],1):(INDEX(tblAssetMenuSpecs[Is Real Estate US],NumberOfAssets))))</f>
        <v>0</v>
      </c>
      <c r="U158" s="280">
        <f>MMULT(INDEX(ReportAssetWeightsAdverse,ROW()-ROW(U$135),1):INDEX(ReportAssetWeightsAdverse,ROW()-ROW(U$135),NumberOfAssets),INT(INDEX(tblAssetMenuSpecs[Is Real Estate Other Developed Markets],1):(INDEX(tblAssetMenuSpecs[Is Real Estate Other Developed Markets],NumberOfAssets))))</f>
        <v>0</v>
      </c>
      <c r="V158" s="280">
        <f>MMULT(INDEX(ReportAssetWeightsAdverse,ROW()-ROW(V$135),1):INDEX(ReportAssetWeightsAdverse,ROW()-ROW(V$135),NumberOfAssets),INT(INDEX(tblAssetMenuSpecs[Is Real Estate Commercial EU (non-leveraged)],1):(INDEX(tblAssetMenuSpecs[Is Real Estate Commercial EU (non-leveraged)],NumberOfAssets))))</f>
        <v>0</v>
      </c>
      <c r="W158" s="280">
        <f>MMULT(INDEX(ReportAssetWeightsAdverse,ROW()-ROW(W$135),1):INDEX(ReportAssetWeightsAdverse,ROW()-ROW(W$135),NumberOfAssets),INT(INDEX(tblAssetMenuSpecs[Is Real Estate Residential EU (non-leveraged)],1):(INDEX(tblAssetMenuSpecs[Is Real Estate Residential EU (non-leveraged)],NumberOfAssets))))</f>
        <v>0</v>
      </c>
      <c r="X158" s="280">
        <f>MMULT(INDEX(ReportAssetWeightsAdverse,ROW()-ROW(X$135),1):INDEX(ReportAssetWeightsAdverse,ROW()-ROW(X$135),NumberOfAssets),INT(INDEX(tblAssetMenuSpecs[Is Government Bond EU],1):(INDEX(tblAssetMenuSpecs[Is Government Bond EU],NumberOfAssets))))</f>
        <v>0</v>
      </c>
      <c r="Y158" s="280">
        <f>MMULT(INDEX(ReportAssetWeightsAdverse,ROW()-ROW(Y$135),1):INDEX(ReportAssetWeightsAdverse,ROW()-ROW(Y$135),NumberOfAssets),INT(INDEX(tblAssetMenuSpecs[Is Government Bond US],1):(INDEX(tblAssetMenuSpecs[Is Government Bond US],NumberOfAssets))))</f>
        <v>0</v>
      </c>
      <c r="Z158" s="280">
        <f>MMULT(INDEX(ReportAssetWeightsAdverse,ROW()-ROW(Z$135),1):INDEX(ReportAssetWeightsAdverse,ROW()-ROW(Z$135),NumberOfAssets),INT(INDEX(tblAssetMenuSpecs[Is Government Bond Other Developed Markets],1):(INDEX(tblAssetMenuSpecs[Is Government Bond Other Developed Markets],NumberOfAssets))))</f>
        <v>0</v>
      </c>
      <c r="AA158" s="280">
        <f>MMULT(INDEX(ReportAssetWeightsAdverse,ROW()-ROW(AA$135),1):INDEX(ReportAssetWeightsAdverse,ROW()-ROW(AA$135),NumberOfAssets),INT(INDEX(tblAssetMenuSpecs[Is Government Bond Emerging Markets],1):(INDEX(tblAssetMenuSpecs[Is Government Bond Emerging Markets],NumberOfAssets))))</f>
        <v>0</v>
      </c>
      <c r="AB158" s="280">
        <f>MMULT(INDEX(ReportAssetWeightsAdverse,ROW()-ROW(AB$135),1):INDEX(ReportAssetWeightsAdverse,ROW()-ROW(AB$135),NumberOfAssets),INT(INDEX(tblAssetMenuSpecs[Is Corporate Bond],1):(INDEX(tblAssetMenuSpecs[Is Corporate Bond],NumberOfAssets))))</f>
        <v>0</v>
      </c>
      <c r="AC158" s="280">
        <f>MMULT(INDEX(ReportAssetWeightsAdverse,ROW()-ROW(AC$135),1):INDEX(ReportAssetWeightsAdverse,ROW()-ROW(AC$135),NumberOfAssets),INT(INDEX(tblAssetMenuSpecs[Is Corporate Bond Non-Financial],1):(INDEX(tblAssetMenuSpecs[Is Corporate Bond Non-Financial],NumberOfAssets))))</f>
        <v>0</v>
      </c>
      <c r="AD158" s="280">
        <f>MMULT(INDEX(ReportAssetWeightsAdverse,ROW()-ROW(AD$135),1):INDEX(ReportAssetWeightsAdverse,ROW()-ROW(AD$135),NumberOfAssets),INT(INDEX(tblAssetMenuSpecs[Is Corporate Bond Financial],1):(INDEX(tblAssetMenuSpecs[Is Corporate Bond Financial],NumberOfAssets))))</f>
        <v>0</v>
      </c>
      <c r="AE158" s="280">
        <f>MMULT(INDEX(ReportAssetWeightsAdverse,ROW()-ROW(AE$135),1):INDEX(ReportAssetWeightsAdverse,ROW()-ROW(AE$135),NumberOfAssets),INT(INDEX(tblAssetMenuSpecs[Is Cash and Deposits],1):(INDEX(tblAssetMenuSpecs[Is Cash and Deposits],NumberOfAssets))))</f>
        <v>1</v>
      </c>
    </row>
    <row r="159" spans="6:31" x14ac:dyDescent="0.25">
      <c r="F159" s="278">
        <f t="shared" si="1"/>
        <v>12</v>
      </c>
      <c r="G159" s="279">
        <f>MMULT(INDEX(ReportAssetWeightsAdverse,ROW()-ROW(G$135),1):INDEX(ReportAssetWeightsAdverse,ROW()-ROW(G$135),NumberOfAssets),INT(INDEX(tblAssetMenuSpecs[IsEquities],1):(INDEX(tblAssetMenuSpecs[IsEquities],NumberOfAssets))))</f>
        <v>0</v>
      </c>
      <c r="H159" s="279">
        <f>MMULT(INDEX(ReportAssetWeightsAdverse,ROW()-ROW(H$135),1):INDEX(ReportAssetWeightsAdverse,ROW()-ROW(H$135),NumberOfAssets),INT(INDEX(tblAssetMenuSpecs[IsRealEstate],1):(INDEX(tblAssetMenuSpecs[IsRealEstate],NumberOfAssets))))</f>
        <v>0</v>
      </c>
      <c r="I159" s="279">
        <f>MMULT(INDEX(ReportAssetWeightsAdverse,ROW()-ROW(I$135),1):INDEX(ReportAssetWeightsAdverse,ROW()-ROW(I$135),NumberOfAssets),INT(INDEX(tblAssetMenuSpecs[IsAlternatives],1):(INDEX(tblAssetMenuSpecs[IsAlternatives],NumberOfAssets))))</f>
        <v>0</v>
      </c>
      <c r="J159" s="279">
        <f>MMULT(INDEX(ReportAssetWeightsAdverse,ROW()-ROW(J$135),1):INDEX(ReportAssetWeightsAdverse,ROW()-ROW(J$135),NumberOfAssets),INT(INDEX(tblAssetMenuSpecs[IsFixedIncome],1):(INDEX(tblAssetMenuSpecs[IsFixedIncome],NumberOfAssets))))</f>
        <v>1</v>
      </c>
      <c r="L159" s="280">
        <f>MMULT(INDEX(ReportAssetWeightsAdverse,ROW()-ROW(L$135),1):INDEX(ReportAssetWeightsAdverse,ROW()-ROW(L$135),NumberOfAssets),INT(INDEX(tblAssetMenuSpecs[Is Equities EU],1):(INDEX(tblAssetMenuSpecs[Is Equities EU],NumberOfAssets))))</f>
        <v>0</v>
      </c>
      <c r="M159" s="280">
        <f>MMULT(INDEX(ReportAssetWeightsAdverse,ROW()-ROW(M$135),1):INDEX(ReportAssetWeightsAdverse,ROW()-ROW(M$135),NumberOfAssets),INT(INDEX(tblAssetMenuSpecs[Is Equities US],1):(INDEX(tblAssetMenuSpecs[Is Equities US],NumberOfAssets))))</f>
        <v>0</v>
      </c>
      <c r="N159" s="280">
        <f>MMULT(INDEX(ReportAssetWeightsAdverse,ROW()-ROW(N$135),1):INDEX(ReportAssetWeightsAdverse,ROW()-ROW(N$135),NumberOfAssets),INT(INDEX(tblAssetMenuSpecs[Is Equities Other Developed Markets],1):(INDEX(tblAssetMenuSpecs[Is Equities Other Developed Markets],NumberOfAssets))))</f>
        <v>0</v>
      </c>
      <c r="O159" s="280">
        <f>MMULT(INDEX(ReportAssetWeightsAdverse,ROW()-ROW(O$135),1):INDEX(ReportAssetWeightsAdverse,ROW()-ROW(O$135),NumberOfAssets),INT(INDEX(tblAssetMenuSpecs[Is Equities Emerging Markets],1):(INDEX(tblAssetMenuSpecs[Is Equities Emerging Markets],NumberOfAssets))))</f>
        <v>0</v>
      </c>
      <c r="P159" s="280">
        <f>MMULT(INDEX(ReportAssetWeightsAdverse,ROW()-ROW(P$135),1):INDEX(ReportAssetWeightsAdverse,ROW()-ROW(P$135),NumberOfAssets),INT(INDEX(tblAssetMenuSpecs[Is Commodities],1):(INDEX(tblAssetMenuSpecs[Is Commodities],NumberOfAssets))))</f>
        <v>0</v>
      </c>
      <c r="Q159" s="280">
        <f>MMULT(INDEX(ReportAssetWeightsAdverse,ROW()-ROW(Q$135),1):INDEX(ReportAssetWeightsAdverse,ROW()-ROW(Q$135),NumberOfAssets),INT(INDEX(tblAssetMenuSpecs[Is Private Equity],1):(INDEX(tblAssetMenuSpecs[Is Private Equity],NumberOfAssets))))</f>
        <v>0</v>
      </c>
      <c r="R159" s="280">
        <f>MMULT(INDEX(ReportAssetWeightsAdverse,ROW()-ROW(R$135),1):INDEX(ReportAssetWeightsAdverse,ROW()-ROW(R$135),NumberOfAssets),INT(INDEX(tblAssetMenuSpecs[Is Hedge Funds],1):(INDEX(tblAssetMenuSpecs[Is Hedge Funds],NumberOfAssets))))</f>
        <v>0</v>
      </c>
      <c r="S159" s="280">
        <f>MMULT(INDEX(ReportAssetWeightsAdverse,ROW()-ROW(S$135),1):INDEX(ReportAssetWeightsAdverse,ROW()-ROW(S$135),NumberOfAssets),INT(INDEX(tblAssetMenuSpecs[Is Real Estate EU],1):(INDEX(tblAssetMenuSpecs[Is Real Estate EU],NumberOfAssets))))</f>
        <v>0</v>
      </c>
      <c r="T159" s="280">
        <f>MMULT(INDEX(ReportAssetWeightsAdverse,ROW()-ROW(T$135),1):INDEX(ReportAssetWeightsAdverse,ROW()-ROW(T$135),NumberOfAssets),INT(INDEX(tblAssetMenuSpecs[Is Real Estate US],1):(INDEX(tblAssetMenuSpecs[Is Real Estate US],NumberOfAssets))))</f>
        <v>0</v>
      </c>
      <c r="U159" s="280">
        <f>MMULT(INDEX(ReportAssetWeightsAdverse,ROW()-ROW(U$135),1):INDEX(ReportAssetWeightsAdverse,ROW()-ROW(U$135),NumberOfAssets),INT(INDEX(tblAssetMenuSpecs[Is Real Estate Other Developed Markets],1):(INDEX(tblAssetMenuSpecs[Is Real Estate Other Developed Markets],NumberOfAssets))))</f>
        <v>0</v>
      </c>
      <c r="V159" s="280">
        <f>MMULT(INDEX(ReportAssetWeightsAdverse,ROW()-ROW(V$135),1):INDEX(ReportAssetWeightsAdverse,ROW()-ROW(V$135),NumberOfAssets),INT(INDEX(tblAssetMenuSpecs[Is Real Estate Commercial EU (non-leveraged)],1):(INDEX(tblAssetMenuSpecs[Is Real Estate Commercial EU (non-leveraged)],NumberOfAssets))))</f>
        <v>0</v>
      </c>
      <c r="W159" s="280">
        <f>MMULT(INDEX(ReportAssetWeightsAdverse,ROW()-ROW(W$135),1):INDEX(ReportAssetWeightsAdverse,ROW()-ROW(W$135),NumberOfAssets),INT(INDEX(tblAssetMenuSpecs[Is Real Estate Residential EU (non-leveraged)],1):(INDEX(tblAssetMenuSpecs[Is Real Estate Residential EU (non-leveraged)],NumberOfAssets))))</f>
        <v>0</v>
      </c>
      <c r="X159" s="280">
        <f>MMULT(INDEX(ReportAssetWeightsAdverse,ROW()-ROW(X$135),1):INDEX(ReportAssetWeightsAdverse,ROW()-ROW(X$135),NumberOfAssets),INT(INDEX(tblAssetMenuSpecs[Is Government Bond EU],1):(INDEX(tblAssetMenuSpecs[Is Government Bond EU],NumberOfAssets))))</f>
        <v>0</v>
      </c>
      <c r="Y159" s="280">
        <f>MMULT(INDEX(ReportAssetWeightsAdverse,ROW()-ROW(Y$135),1):INDEX(ReportAssetWeightsAdverse,ROW()-ROW(Y$135),NumberOfAssets),INT(INDEX(tblAssetMenuSpecs[Is Government Bond US],1):(INDEX(tblAssetMenuSpecs[Is Government Bond US],NumberOfAssets))))</f>
        <v>0</v>
      </c>
      <c r="Z159" s="280">
        <f>MMULT(INDEX(ReportAssetWeightsAdverse,ROW()-ROW(Z$135),1):INDEX(ReportAssetWeightsAdverse,ROW()-ROW(Z$135),NumberOfAssets),INT(INDEX(tblAssetMenuSpecs[Is Government Bond Other Developed Markets],1):(INDEX(tblAssetMenuSpecs[Is Government Bond Other Developed Markets],NumberOfAssets))))</f>
        <v>0</v>
      </c>
      <c r="AA159" s="280">
        <f>MMULT(INDEX(ReportAssetWeightsAdverse,ROW()-ROW(AA$135),1):INDEX(ReportAssetWeightsAdverse,ROW()-ROW(AA$135),NumberOfAssets),INT(INDEX(tblAssetMenuSpecs[Is Government Bond Emerging Markets],1):(INDEX(tblAssetMenuSpecs[Is Government Bond Emerging Markets],NumberOfAssets))))</f>
        <v>0</v>
      </c>
      <c r="AB159" s="280">
        <f>MMULT(INDEX(ReportAssetWeightsAdverse,ROW()-ROW(AB$135),1):INDEX(ReportAssetWeightsAdverse,ROW()-ROW(AB$135),NumberOfAssets),INT(INDEX(tblAssetMenuSpecs[Is Corporate Bond],1):(INDEX(tblAssetMenuSpecs[Is Corporate Bond],NumberOfAssets))))</f>
        <v>0</v>
      </c>
      <c r="AC159" s="280">
        <f>MMULT(INDEX(ReportAssetWeightsAdverse,ROW()-ROW(AC$135),1):INDEX(ReportAssetWeightsAdverse,ROW()-ROW(AC$135),NumberOfAssets),INT(INDEX(tblAssetMenuSpecs[Is Corporate Bond Non-Financial],1):(INDEX(tblAssetMenuSpecs[Is Corporate Bond Non-Financial],NumberOfAssets))))</f>
        <v>0</v>
      </c>
      <c r="AD159" s="280">
        <f>MMULT(INDEX(ReportAssetWeightsAdverse,ROW()-ROW(AD$135),1):INDEX(ReportAssetWeightsAdverse,ROW()-ROW(AD$135),NumberOfAssets),INT(INDEX(tblAssetMenuSpecs[Is Corporate Bond Financial],1):(INDEX(tblAssetMenuSpecs[Is Corporate Bond Financial],NumberOfAssets))))</f>
        <v>0</v>
      </c>
      <c r="AE159" s="280">
        <f>MMULT(INDEX(ReportAssetWeightsAdverse,ROW()-ROW(AE$135),1):INDEX(ReportAssetWeightsAdverse,ROW()-ROW(AE$135),NumberOfAssets),INT(INDEX(tblAssetMenuSpecs[Is Cash and Deposits],1):(INDEX(tblAssetMenuSpecs[Is Cash and Deposits],NumberOfAssets))))</f>
        <v>1</v>
      </c>
    </row>
    <row r="160" spans="6:31" x14ac:dyDescent="0.25">
      <c r="F160" s="278">
        <f t="shared" si="1"/>
        <v>11</v>
      </c>
      <c r="G160" s="279">
        <f>MMULT(INDEX(ReportAssetWeightsAdverse,ROW()-ROW(G$135),1):INDEX(ReportAssetWeightsAdverse,ROW()-ROW(G$135),NumberOfAssets),INT(INDEX(tblAssetMenuSpecs[IsEquities],1):(INDEX(tblAssetMenuSpecs[IsEquities],NumberOfAssets))))</f>
        <v>0</v>
      </c>
      <c r="H160" s="279">
        <f>MMULT(INDEX(ReportAssetWeightsAdverse,ROW()-ROW(H$135),1):INDEX(ReportAssetWeightsAdverse,ROW()-ROW(H$135),NumberOfAssets),INT(INDEX(tblAssetMenuSpecs[IsRealEstate],1):(INDEX(tblAssetMenuSpecs[IsRealEstate],NumberOfAssets))))</f>
        <v>0</v>
      </c>
      <c r="I160" s="279">
        <f>MMULT(INDEX(ReportAssetWeightsAdverse,ROW()-ROW(I$135),1):INDEX(ReportAssetWeightsAdverse,ROW()-ROW(I$135),NumberOfAssets),INT(INDEX(tblAssetMenuSpecs[IsAlternatives],1):(INDEX(tblAssetMenuSpecs[IsAlternatives],NumberOfAssets))))</f>
        <v>0</v>
      </c>
      <c r="J160" s="279">
        <f>MMULT(INDEX(ReportAssetWeightsAdverse,ROW()-ROW(J$135),1):INDEX(ReportAssetWeightsAdverse,ROW()-ROW(J$135),NumberOfAssets),INT(INDEX(tblAssetMenuSpecs[IsFixedIncome],1):(INDEX(tblAssetMenuSpecs[IsFixedIncome],NumberOfAssets))))</f>
        <v>1</v>
      </c>
      <c r="L160" s="280">
        <f>MMULT(INDEX(ReportAssetWeightsAdverse,ROW()-ROW(L$135),1):INDEX(ReportAssetWeightsAdverse,ROW()-ROW(L$135),NumberOfAssets),INT(INDEX(tblAssetMenuSpecs[Is Equities EU],1):(INDEX(tblAssetMenuSpecs[Is Equities EU],NumberOfAssets))))</f>
        <v>0</v>
      </c>
      <c r="M160" s="280">
        <f>MMULT(INDEX(ReportAssetWeightsAdverse,ROW()-ROW(M$135),1):INDEX(ReportAssetWeightsAdverse,ROW()-ROW(M$135),NumberOfAssets),INT(INDEX(tblAssetMenuSpecs[Is Equities US],1):(INDEX(tblAssetMenuSpecs[Is Equities US],NumberOfAssets))))</f>
        <v>0</v>
      </c>
      <c r="N160" s="280">
        <f>MMULT(INDEX(ReportAssetWeightsAdverse,ROW()-ROW(N$135),1):INDEX(ReportAssetWeightsAdverse,ROW()-ROW(N$135),NumberOfAssets),INT(INDEX(tblAssetMenuSpecs[Is Equities Other Developed Markets],1):(INDEX(tblAssetMenuSpecs[Is Equities Other Developed Markets],NumberOfAssets))))</f>
        <v>0</v>
      </c>
      <c r="O160" s="280">
        <f>MMULT(INDEX(ReportAssetWeightsAdverse,ROW()-ROW(O$135),1):INDEX(ReportAssetWeightsAdverse,ROW()-ROW(O$135),NumberOfAssets),INT(INDEX(tblAssetMenuSpecs[Is Equities Emerging Markets],1):(INDEX(tblAssetMenuSpecs[Is Equities Emerging Markets],NumberOfAssets))))</f>
        <v>0</v>
      </c>
      <c r="P160" s="280">
        <f>MMULT(INDEX(ReportAssetWeightsAdverse,ROW()-ROW(P$135),1):INDEX(ReportAssetWeightsAdverse,ROW()-ROW(P$135),NumberOfAssets),INT(INDEX(tblAssetMenuSpecs[Is Commodities],1):(INDEX(tblAssetMenuSpecs[Is Commodities],NumberOfAssets))))</f>
        <v>0</v>
      </c>
      <c r="Q160" s="280">
        <f>MMULT(INDEX(ReportAssetWeightsAdverse,ROW()-ROW(Q$135),1):INDEX(ReportAssetWeightsAdverse,ROW()-ROW(Q$135),NumberOfAssets),INT(INDEX(tblAssetMenuSpecs[Is Private Equity],1):(INDEX(tblAssetMenuSpecs[Is Private Equity],NumberOfAssets))))</f>
        <v>0</v>
      </c>
      <c r="R160" s="280">
        <f>MMULT(INDEX(ReportAssetWeightsAdverse,ROW()-ROW(R$135),1):INDEX(ReportAssetWeightsAdverse,ROW()-ROW(R$135),NumberOfAssets),INT(INDEX(tblAssetMenuSpecs[Is Hedge Funds],1):(INDEX(tblAssetMenuSpecs[Is Hedge Funds],NumberOfAssets))))</f>
        <v>0</v>
      </c>
      <c r="S160" s="280">
        <f>MMULT(INDEX(ReportAssetWeightsAdverse,ROW()-ROW(S$135),1):INDEX(ReportAssetWeightsAdverse,ROW()-ROW(S$135),NumberOfAssets),INT(INDEX(tblAssetMenuSpecs[Is Real Estate EU],1):(INDEX(tblAssetMenuSpecs[Is Real Estate EU],NumberOfAssets))))</f>
        <v>0</v>
      </c>
      <c r="T160" s="280">
        <f>MMULT(INDEX(ReportAssetWeightsAdverse,ROW()-ROW(T$135),1):INDEX(ReportAssetWeightsAdverse,ROW()-ROW(T$135),NumberOfAssets),INT(INDEX(tblAssetMenuSpecs[Is Real Estate US],1):(INDEX(tblAssetMenuSpecs[Is Real Estate US],NumberOfAssets))))</f>
        <v>0</v>
      </c>
      <c r="U160" s="280">
        <f>MMULT(INDEX(ReportAssetWeightsAdverse,ROW()-ROW(U$135),1):INDEX(ReportAssetWeightsAdverse,ROW()-ROW(U$135),NumberOfAssets),INT(INDEX(tblAssetMenuSpecs[Is Real Estate Other Developed Markets],1):(INDEX(tblAssetMenuSpecs[Is Real Estate Other Developed Markets],NumberOfAssets))))</f>
        <v>0</v>
      </c>
      <c r="V160" s="280">
        <f>MMULT(INDEX(ReportAssetWeightsAdverse,ROW()-ROW(V$135),1):INDEX(ReportAssetWeightsAdverse,ROW()-ROW(V$135),NumberOfAssets),INT(INDEX(tblAssetMenuSpecs[Is Real Estate Commercial EU (non-leveraged)],1):(INDEX(tblAssetMenuSpecs[Is Real Estate Commercial EU (non-leveraged)],NumberOfAssets))))</f>
        <v>0</v>
      </c>
      <c r="W160" s="280">
        <f>MMULT(INDEX(ReportAssetWeightsAdverse,ROW()-ROW(W$135),1):INDEX(ReportAssetWeightsAdverse,ROW()-ROW(W$135),NumberOfAssets),INT(INDEX(tblAssetMenuSpecs[Is Real Estate Residential EU (non-leveraged)],1):(INDEX(tblAssetMenuSpecs[Is Real Estate Residential EU (non-leveraged)],NumberOfAssets))))</f>
        <v>0</v>
      </c>
      <c r="X160" s="280">
        <f>MMULT(INDEX(ReportAssetWeightsAdverse,ROW()-ROW(X$135),1):INDEX(ReportAssetWeightsAdverse,ROW()-ROW(X$135),NumberOfAssets),INT(INDEX(tblAssetMenuSpecs[Is Government Bond EU],1):(INDEX(tblAssetMenuSpecs[Is Government Bond EU],NumberOfAssets))))</f>
        <v>0</v>
      </c>
      <c r="Y160" s="280">
        <f>MMULT(INDEX(ReportAssetWeightsAdverse,ROW()-ROW(Y$135),1):INDEX(ReportAssetWeightsAdverse,ROW()-ROW(Y$135),NumberOfAssets),INT(INDEX(tblAssetMenuSpecs[Is Government Bond US],1):(INDEX(tblAssetMenuSpecs[Is Government Bond US],NumberOfAssets))))</f>
        <v>0</v>
      </c>
      <c r="Z160" s="280">
        <f>MMULT(INDEX(ReportAssetWeightsAdverse,ROW()-ROW(Z$135),1):INDEX(ReportAssetWeightsAdverse,ROW()-ROW(Z$135),NumberOfAssets),INT(INDEX(tblAssetMenuSpecs[Is Government Bond Other Developed Markets],1):(INDEX(tblAssetMenuSpecs[Is Government Bond Other Developed Markets],NumberOfAssets))))</f>
        <v>0</v>
      </c>
      <c r="AA160" s="280">
        <f>MMULT(INDEX(ReportAssetWeightsAdverse,ROW()-ROW(AA$135),1):INDEX(ReportAssetWeightsAdverse,ROW()-ROW(AA$135),NumberOfAssets),INT(INDEX(tblAssetMenuSpecs[Is Government Bond Emerging Markets],1):(INDEX(tblAssetMenuSpecs[Is Government Bond Emerging Markets],NumberOfAssets))))</f>
        <v>0</v>
      </c>
      <c r="AB160" s="280">
        <f>MMULT(INDEX(ReportAssetWeightsAdverse,ROW()-ROW(AB$135),1):INDEX(ReportAssetWeightsAdverse,ROW()-ROW(AB$135),NumberOfAssets),INT(INDEX(tblAssetMenuSpecs[Is Corporate Bond],1):(INDEX(tblAssetMenuSpecs[Is Corporate Bond],NumberOfAssets))))</f>
        <v>0</v>
      </c>
      <c r="AC160" s="280">
        <f>MMULT(INDEX(ReportAssetWeightsAdverse,ROW()-ROW(AC$135),1):INDEX(ReportAssetWeightsAdverse,ROW()-ROW(AC$135),NumberOfAssets),INT(INDEX(tblAssetMenuSpecs[Is Corporate Bond Non-Financial],1):(INDEX(tblAssetMenuSpecs[Is Corporate Bond Non-Financial],NumberOfAssets))))</f>
        <v>0</v>
      </c>
      <c r="AD160" s="280">
        <f>MMULT(INDEX(ReportAssetWeightsAdverse,ROW()-ROW(AD$135),1):INDEX(ReportAssetWeightsAdverse,ROW()-ROW(AD$135),NumberOfAssets),INT(INDEX(tblAssetMenuSpecs[Is Corporate Bond Financial],1):(INDEX(tblAssetMenuSpecs[Is Corporate Bond Financial],NumberOfAssets))))</f>
        <v>0</v>
      </c>
      <c r="AE160" s="280">
        <f>MMULT(INDEX(ReportAssetWeightsAdverse,ROW()-ROW(AE$135),1):INDEX(ReportAssetWeightsAdverse,ROW()-ROW(AE$135),NumberOfAssets),INT(INDEX(tblAssetMenuSpecs[Is Cash and Deposits],1):(INDEX(tblAssetMenuSpecs[Is Cash and Deposits],NumberOfAssets))))</f>
        <v>1</v>
      </c>
    </row>
    <row r="161" spans="6:31" x14ac:dyDescent="0.25">
      <c r="F161" s="278">
        <f t="shared" si="1"/>
        <v>10</v>
      </c>
      <c r="G161" s="279">
        <f>MMULT(INDEX(ReportAssetWeightsAdverse,ROW()-ROW(G$135),1):INDEX(ReportAssetWeightsAdverse,ROW()-ROW(G$135),NumberOfAssets),INT(INDEX(tblAssetMenuSpecs[IsEquities],1):(INDEX(tblAssetMenuSpecs[IsEquities],NumberOfAssets))))</f>
        <v>0</v>
      </c>
      <c r="H161" s="279">
        <f>MMULT(INDEX(ReportAssetWeightsAdverse,ROW()-ROW(H$135),1):INDEX(ReportAssetWeightsAdverse,ROW()-ROW(H$135),NumberOfAssets),INT(INDEX(tblAssetMenuSpecs[IsRealEstate],1):(INDEX(tblAssetMenuSpecs[IsRealEstate],NumberOfAssets))))</f>
        <v>0</v>
      </c>
      <c r="I161" s="279">
        <f>MMULT(INDEX(ReportAssetWeightsAdverse,ROW()-ROW(I$135),1):INDEX(ReportAssetWeightsAdverse,ROW()-ROW(I$135),NumberOfAssets),INT(INDEX(tblAssetMenuSpecs[IsAlternatives],1):(INDEX(tblAssetMenuSpecs[IsAlternatives],NumberOfAssets))))</f>
        <v>0</v>
      </c>
      <c r="J161" s="279">
        <f>MMULT(INDEX(ReportAssetWeightsAdverse,ROW()-ROW(J$135),1):INDEX(ReportAssetWeightsAdverse,ROW()-ROW(J$135),NumberOfAssets),INT(INDEX(tblAssetMenuSpecs[IsFixedIncome],1):(INDEX(tblAssetMenuSpecs[IsFixedIncome],NumberOfAssets))))</f>
        <v>1</v>
      </c>
      <c r="L161" s="280">
        <f>MMULT(INDEX(ReportAssetWeightsAdverse,ROW()-ROW(L$135),1):INDEX(ReportAssetWeightsAdverse,ROW()-ROW(L$135),NumberOfAssets),INT(INDEX(tblAssetMenuSpecs[Is Equities EU],1):(INDEX(tblAssetMenuSpecs[Is Equities EU],NumberOfAssets))))</f>
        <v>0</v>
      </c>
      <c r="M161" s="280">
        <f>MMULT(INDEX(ReportAssetWeightsAdverse,ROW()-ROW(M$135),1):INDEX(ReportAssetWeightsAdverse,ROW()-ROW(M$135),NumberOfAssets),INT(INDEX(tblAssetMenuSpecs[Is Equities US],1):(INDEX(tblAssetMenuSpecs[Is Equities US],NumberOfAssets))))</f>
        <v>0</v>
      </c>
      <c r="N161" s="280">
        <f>MMULT(INDEX(ReportAssetWeightsAdverse,ROW()-ROW(N$135),1):INDEX(ReportAssetWeightsAdverse,ROW()-ROW(N$135),NumberOfAssets),INT(INDEX(tblAssetMenuSpecs[Is Equities Other Developed Markets],1):(INDEX(tblAssetMenuSpecs[Is Equities Other Developed Markets],NumberOfAssets))))</f>
        <v>0</v>
      </c>
      <c r="O161" s="280">
        <f>MMULT(INDEX(ReportAssetWeightsAdverse,ROW()-ROW(O$135),1):INDEX(ReportAssetWeightsAdverse,ROW()-ROW(O$135),NumberOfAssets),INT(INDEX(tblAssetMenuSpecs[Is Equities Emerging Markets],1):(INDEX(tblAssetMenuSpecs[Is Equities Emerging Markets],NumberOfAssets))))</f>
        <v>0</v>
      </c>
      <c r="P161" s="280">
        <f>MMULT(INDEX(ReportAssetWeightsAdverse,ROW()-ROW(P$135),1):INDEX(ReportAssetWeightsAdverse,ROW()-ROW(P$135),NumberOfAssets),INT(INDEX(tblAssetMenuSpecs[Is Commodities],1):(INDEX(tblAssetMenuSpecs[Is Commodities],NumberOfAssets))))</f>
        <v>0</v>
      </c>
      <c r="Q161" s="280">
        <f>MMULT(INDEX(ReportAssetWeightsAdverse,ROW()-ROW(Q$135),1):INDEX(ReportAssetWeightsAdverse,ROW()-ROW(Q$135),NumberOfAssets),INT(INDEX(tblAssetMenuSpecs[Is Private Equity],1):(INDEX(tblAssetMenuSpecs[Is Private Equity],NumberOfAssets))))</f>
        <v>0</v>
      </c>
      <c r="R161" s="280">
        <f>MMULT(INDEX(ReportAssetWeightsAdverse,ROW()-ROW(R$135),1):INDEX(ReportAssetWeightsAdverse,ROW()-ROW(R$135),NumberOfAssets),INT(INDEX(tblAssetMenuSpecs[Is Hedge Funds],1):(INDEX(tblAssetMenuSpecs[Is Hedge Funds],NumberOfAssets))))</f>
        <v>0</v>
      </c>
      <c r="S161" s="280">
        <f>MMULT(INDEX(ReportAssetWeightsAdverse,ROW()-ROW(S$135),1):INDEX(ReportAssetWeightsAdverse,ROW()-ROW(S$135),NumberOfAssets),INT(INDEX(tblAssetMenuSpecs[Is Real Estate EU],1):(INDEX(tblAssetMenuSpecs[Is Real Estate EU],NumberOfAssets))))</f>
        <v>0</v>
      </c>
      <c r="T161" s="280">
        <f>MMULT(INDEX(ReportAssetWeightsAdverse,ROW()-ROW(T$135),1):INDEX(ReportAssetWeightsAdverse,ROW()-ROW(T$135),NumberOfAssets),INT(INDEX(tblAssetMenuSpecs[Is Real Estate US],1):(INDEX(tblAssetMenuSpecs[Is Real Estate US],NumberOfAssets))))</f>
        <v>0</v>
      </c>
      <c r="U161" s="280">
        <f>MMULT(INDEX(ReportAssetWeightsAdverse,ROW()-ROW(U$135),1):INDEX(ReportAssetWeightsAdverse,ROW()-ROW(U$135),NumberOfAssets),INT(INDEX(tblAssetMenuSpecs[Is Real Estate Other Developed Markets],1):(INDEX(tblAssetMenuSpecs[Is Real Estate Other Developed Markets],NumberOfAssets))))</f>
        <v>0</v>
      </c>
      <c r="V161" s="280">
        <f>MMULT(INDEX(ReportAssetWeightsAdverse,ROW()-ROW(V$135),1):INDEX(ReportAssetWeightsAdverse,ROW()-ROW(V$135),NumberOfAssets),INT(INDEX(tblAssetMenuSpecs[Is Real Estate Commercial EU (non-leveraged)],1):(INDEX(tblAssetMenuSpecs[Is Real Estate Commercial EU (non-leveraged)],NumberOfAssets))))</f>
        <v>0</v>
      </c>
      <c r="W161" s="280">
        <f>MMULT(INDEX(ReportAssetWeightsAdverse,ROW()-ROW(W$135),1):INDEX(ReportAssetWeightsAdverse,ROW()-ROW(W$135),NumberOfAssets),INT(INDEX(tblAssetMenuSpecs[Is Real Estate Residential EU (non-leveraged)],1):(INDEX(tblAssetMenuSpecs[Is Real Estate Residential EU (non-leveraged)],NumberOfAssets))))</f>
        <v>0</v>
      </c>
      <c r="X161" s="280">
        <f>MMULT(INDEX(ReportAssetWeightsAdverse,ROW()-ROW(X$135),1):INDEX(ReportAssetWeightsAdverse,ROW()-ROW(X$135),NumberOfAssets),INT(INDEX(tblAssetMenuSpecs[Is Government Bond EU],1):(INDEX(tblAssetMenuSpecs[Is Government Bond EU],NumberOfAssets))))</f>
        <v>0</v>
      </c>
      <c r="Y161" s="280">
        <f>MMULT(INDEX(ReportAssetWeightsAdverse,ROW()-ROW(Y$135),1):INDEX(ReportAssetWeightsAdverse,ROW()-ROW(Y$135),NumberOfAssets),INT(INDEX(tblAssetMenuSpecs[Is Government Bond US],1):(INDEX(tblAssetMenuSpecs[Is Government Bond US],NumberOfAssets))))</f>
        <v>0</v>
      </c>
      <c r="Z161" s="280">
        <f>MMULT(INDEX(ReportAssetWeightsAdverse,ROW()-ROW(Z$135),1):INDEX(ReportAssetWeightsAdverse,ROW()-ROW(Z$135),NumberOfAssets),INT(INDEX(tblAssetMenuSpecs[Is Government Bond Other Developed Markets],1):(INDEX(tblAssetMenuSpecs[Is Government Bond Other Developed Markets],NumberOfAssets))))</f>
        <v>0</v>
      </c>
      <c r="AA161" s="280">
        <f>MMULT(INDEX(ReportAssetWeightsAdverse,ROW()-ROW(AA$135),1):INDEX(ReportAssetWeightsAdverse,ROW()-ROW(AA$135),NumberOfAssets),INT(INDEX(tblAssetMenuSpecs[Is Government Bond Emerging Markets],1):(INDEX(tblAssetMenuSpecs[Is Government Bond Emerging Markets],NumberOfAssets))))</f>
        <v>0</v>
      </c>
      <c r="AB161" s="280">
        <f>MMULT(INDEX(ReportAssetWeightsAdverse,ROW()-ROW(AB$135),1):INDEX(ReportAssetWeightsAdverse,ROW()-ROW(AB$135),NumberOfAssets),INT(INDEX(tblAssetMenuSpecs[Is Corporate Bond],1):(INDEX(tblAssetMenuSpecs[Is Corporate Bond],NumberOfAssets))))</f>
        <v>0</v>
      </c>
      <c r="AC161" s="280">
        <f>MMULT(INDEX(ReportAssetWeightsAdverse,ROW()-ROW(AC$135),1):INDEX(ReportAssetWeightsAdverse,ROW()-ROW(AC$135),NumberOfAssets),INT(INDEX(tblAssetMenuSpecs[Is Corporate Bond Non-Financial],1):(INDEX(tblAssetMenuSpecs[Is Corporate Bond Non-Financial],NumberOfAssets))))</f>
        <v>0</v>
      </c>
      <c r="AD161" s="280">
        <f>MMULT(INDEX(ReportAssetWeightsAdverse,ROW()-ROW(AD$135),1):INDEX(ReportAssetWeightsAdverse,ROW()-ROW(AD$135),NumberOfAssets),INT(INDEX(tblAssetMenuSpecs[Is Corporate Bond Financial],1):(INDEX(tblAssetMenuSpecs[Is Corporate Bond Financial],NumberOfAssets))))</f>
        <v>0</v>
      </c>
      <c r="AE161" s="280">
        <f>MMULT(INDEX(ReportAssetWeightsAdverse,ROW()-ROW(AE$135),1):INDEX(ReportAssetWeightsAdverse,ROW()-ROW(AE$135),NumberOfAssets),INT(INDEX(tblAssetMenuSpecs[Is Cash and Deposits],1):(INDEX(tblAssetMenuSpecs[Is Cash and Deposits],NumberOfAssets))))</f>
        <v>1</v>
      </c>
    </row>
    <row r="162" spans="6:31" x14ac:dyDescent="0.25">
      <c r="F162" s="278">
        <f t="shared" si="1"/>
        <v>9</v>
      </c>
      <c r="G162" s="279">
        <f>MMULT(INDEX(ReportAssetWeightsAdverse,ROW()-ROW(G$135),1):INDEX(ReportAssetWeightsAdverse,ROW()-ROW(G$135),NumberOfAssets),INT(INDEX(tblAssetMenuSpecs[IsEquities],1):(INDEX(tblAssetMenuSpecs[IsEquities],NumberOfAssets))))</f>
        <v>0</v>
      </c>
      <c r="H162" s="279">
        <f>MMULT(INDEX(ReportAssetWeightsAdverse,ROW()-ROW(H$135),1):INDEX(ReportAssetWeightsAdverse,ROW()-ROW(H$135),NumberOfAssets),INT(INDEX(tblAssetMenuSpecs[IsRealEstate],1):(INDEX(tblAssetMenuSpecs[IsRealEstate],NumberOfAssets))))</f>
        <v>0</v>
      </c>
      <c r="I162" s="279">
        <f>MMULT(INDEX(ReportAssetWeightsAdverse,ROW()-ROW(I$135),1):INDEX(ReportAssetWeightsAdverse,ROW()-ROW(I$135),NumberOfAssets),INT(INDEX(tblAssetMenuSpecs[IsAlternatives],1):(INDEX(tblAssetMenuSpecs[IsAlternatives],NumberOfAssets))))</f>
        <v>0</v>
      </c>
      <c r="J162" s="279">
        <f>MMULT(INDEX(ReportAssetWeightsAdverse,ROW()-ROW(J$135),1):INDEX(ReportAssetWeightsAdverse,ROW()-ROW(J$135),NumberOfAssets),INT(INDEX(tblAssetMenuSpecs[IsFixedIncome],1):(INDEX(tblAssetMenuSpecs[IsFixedIncome],NumberOfAssets))))</f>
        <v>1</v>
      </c>
      <c r="L162" s="280">
        <f>MMULT(INDEX(ReportAssetWeightsAdverse,ROW()-ROW(L$135),1):INDEX(ReportAssetWeightsAdverse,ROW()-ROW(L$135),NumberOfAssets),INT(INDEX(tblAssetMenuSpecs[Is Equities EU],1):(INDEX(tblAssetMenuSpecs[Is Equities EU],NumberOfAssets))))</f>
        <v>0</v>
      </c>
      <c r="M162" s="280">
        <f>MMULT(INDEX(ReportAssetWeightsAdverse,ROW()-ROW(M$135),1):INDEX(ReportAssetWeightsAdverse,ROW()-ROW(M$135),NumberOfAssets),INT(INDEX(tblAssetMenuSpecs[Is Equities US],1):(INDEX(tblAssetMenuSpecs[Is Equities US],NumberOfAssets))))</f>
        <v>0</v>
      </c>
      <c r="N162" s="280">
        <f>MMULT(INDEX(ReportAssetWeightsAdverse,ROW()-ROW(N$135),1):INDEX(ReportAssetWeightsAdverse,ROW()-ROW(N$135),NumberOfAssets),INT(INDEX(tblAssetMenuSpecs[Is Equities Other Developed Markets],1):(INDEX(tblAssetMenuSpecs[Is Equities Other Developed Markets],NumberOfAssets))))</f>
        <v>0</v>
      </c>
      <c r="O162" s="280">
        <f>MMULT(INDEX(ReportAssetWeightsAdverse,ROW()-ROW(O$135),1):INDEX(ReportAssetWeightsAdverse,ROW()-ROW(O$135),NumberOfAssets),INT(INDEX(tblAssetMenuSpecs[Is Equities Emerging Markets],1):(INDEX(tblAssetMenuSpecs[Is Equities Emerging Markets],NumberOfAssets))))</f>
        <v>0</v>
      </c>
      <c r="P162" s="280">
        <f>MMULT(INDEX(ReportAssetWeightsAdverse,ROW()-ROW(P$135),1):INDEX(ReportAssetWeightsAdverse,ROW()-ROW(P$135),NumberOfAssets),INT(INDEX(tblAssetMenuSpecs[Is Commodities],1):(INDEX(tblAssetMenuSpecs[Is Commodities],NumberOfAssets))))</f>
        <v>0</v>
      </c>
      <c r="Q162" s="280">
        <f>MMULT(INDEX(ReportAssetWeightsAdverse,ROW()-ROW(Q$135),1):INDEX(ReportAssetWeightsAdverse,ROW()-ROW(Q$135),NumberOfAssets),INT(INDEX(tblAssetMenuSpecs[Is Private Equity],1):(INDEX(tblAssetMenuSpecs[Is Private Equity],NumberOfAssets))))</f>
        <v>0</v>
      </c>
      <c r="R162" s="280">
        <f>MMULT(INDEX(ReportAssetWeightsAdverse,ROW()-ROW(R$135),1):INDEX(ReportAssetWeightsAdverse,ROW()-ROW(R$135),NumberOfAssets),INT(INDEX(tblAssetMenuSpecs[Is Hedge Funds],1):(INDEX(tblAssetMenuSpecs[Is Hedge Funds],NumberOfAssets))))</f>
        <v>0</v>
      </c>
      <c r="S162" s="280">
        <f>MMULT(INDEX(ReportAssetWeightsAdverse,ROW()-ROW(S$135),1):INDEX(ReportAssetWeightsAdverse,ROW()-ROW(S$135),NumberOfAssets),INT(INDEX(tblAssetMenuSpecs[Is Real Estate EU],1):(INDEX(tblAssetMenuSpecs[Is Real Estate EU],NumberOfAssets))))</f>
        <v>0</v>
      </c>
      <c r="T162" s="280">
        <f>MMULT(INDEX(ReportAssetWeightsAdverse,ROW()-ROW(T$135),1):INDEX(ReportAssetWeightsAdverse,ROW()-ROW(T$135),NumberOfAssets),INT(INDEX(tblAssetMenuSpecs[Is Real Estate US],1):(INDEX(tblAssetMenuSpecs[Is Real Estate US],NumberOfAssets))))</f>
        <v>0</v>
      </c>
      <c r="U162" s="280">
        <f>MMULT(INDEX(ReportAssetWeightsAdverse,ROW()-ROW(U$135),1):INDEX(ReportAssetWeightsAdverse,ROW()-ROW(U$135),NumberOfAssets),INT(INDEX(tblAssetMenuSpecs[Is Real Estate Other Developed Markets],1):(INDEX(tblAssetMenuSpecs[Is Real Estate Other Developed Markets],NumberOfAssets))))</f>
        <v>0</v>
      </c>
      <c r="V162" s="280">
        <f>MMULT(INDEX(ReportAssetWeightsAdverse,ROW()-ROW(V$135),1):INDEX(ReportAssetWeightsAdverse,ROW()-ROW(V$135),NumberOfAssets),INT(INDEX(tblAssetMenuSpecs[Is Real Estate Commercial EU (non-leveraged)],1):(INDEX(tblAssetMenuSpecs[Is Real Estate Commercial EU (non-leveraged)],NumberOfAssets))))</f>
        <v>0</v>
      </c>
      <c r="W162" s="280">
        <f>MMULT(INDEX(ReportAssetWeightsAdverse,ROW()-ROW(W$135),1):INDEX(ReportAssetWeightsAdverse,ROW()-ROW(W$135),NumberOfAssets),INT(INDEX(tblAssetMenuSpecs[Is Real Estate Residential EU (non-leveraged)],1):(INDEX(tblAssetMenuSpecs[Is Real Estate Residential EU (non-leveraged)],NumberOfAssets))))</f>
        <v>0</v>
      </c>
      <c r="X162" s="280">
        <f>MMULT(INDEX(ReportAssetWeightsAdverse,ROW()-ROW(X$135),1):INDEX(ReportAssetWeightsAdverse,ROW()-ROW(X$135),NumberOfAssets),INT(INDEX(tblAssetMenuSpecs[Is Government Bond EU],1):(INDEX(tblAssetMenuSpecs[Is Government Bond EU],NumberOfAssets))))</f>
        <v>0</v>
      </c>
      <c r="Y162" s="280">
        <f>MMULT(INDEX(ReportAssetWeightsAdverse,ROW()-ROW(Y$135),1):INDEX(ReportAssetWeightsAdverse,ROW()-ROW(Y$135),NumberOfAssets),INT(INDEX(tblAssetMenuSpecs[Is Government Bond US],1):(INDEX(tblAssetMenuSpecs[Is Government Bond US],NumberOfAssets))))</f>
        <v>0</v>
      </c>
      <c r="Z162" s="280">
        <f>MMULT(INDEX(ReportAssetWeightsAdverse,ROW()-ROW(Z$135),1):INDEX(ReportAssetWeightsAdverse,ROW()-ROW(Z$135),NumberOfAssets),INT(INDEX(tblAssetMenuSpecs[Is Government Bond Other Developed Markets],1):(INDEX(tblAssetMenuSpecs[Is Government Bond Other Developed Markets],NumberOfAssets))))</f>
        <v>0</v>
      </c>
      <c r="AA162" s="280">
        <f>MMULT(INDEX(ReportAssetWeightsAdverse,ROW()-ROW(AA$135),1):INDEX(ReportAssetWeightsAdverse,ROW()-ROW(AA$135),NumberOfAssets),INT(INDEX(tblAssetMenuSpecs[Is Government Bond Emerging Markets],1):(INDEX(tblAssetMenuSpecs[Is Government Bond Emerging Markets],NumberOfAssets))))</f>
        <v>0</v>
      </c>
      <c r="AB162" s="280">
        <f>MMULT(INDEX(ReportAssetWeightsAdverse,ROW()-ROW(AB$135),1):INDEX(ReportAssetWeightsAdverse,ROW()-ROW(AB$135),NumberOfAssets),INT(INDEX(tblAssetMenuSpecs[Is Corporate Bond],1):(INDEX(tblAssetMenuSpecs[Is Corporate Bond],NumberOfAssets))))</f>
        <v>0</v>
      </c>
      <c r="AC162" s="280">
        <f>MMULT(INDEX(ReportAssetWeightsAdverse,ROW()-ROW(AC$135),1):INDEX(ReportAssetWeightsAdverse,ROW()-ROW(AC$135),NumberOfAssets),INT(INDEX(tblAssetMenuSpecs[Is Corporate Bond Non-Financial],1):(INDEX(tblAssetMenuSpecs[Is Corporate Bond Non-Financial],NumberOfAssets))))</f>
        <v>0</v>
      </c>
      <c r="AD162" s="280">
        <f>MMULT(INDEX(ReportAssetWeightsAdverse,ROW()-ROW(AD$135),1):INDEX(ReportAssetWeightsAdverse,ROW()-ROW(AD$135),NumberOfAssets),INT(INDEX(tblAssetMenuSpecs[Is Corporate Bond Financial],1):(INDEX(tblAssetMenuSpecs[Is Corporate Bond Financial],NumberOfAssets))))</f>
        <v>0</v>
      </c>
      <c r="AE162" s="280">
        <f>MMULT(INDEX(ReportAssetWeightsAdverse,ROW()-ROW(AE$135),1):INDEX(ReportAssetWeightsAdverse,ROW()-ROW(AE$135),NumberOfAssets),INT(INDEX(tblAssetMenuSpecs[Is Cash and Deposits],1):(INDEX(tblAssetMenuSpecs[Is Cash and Deposits],NumberOfAssets))))</f>
        <v>1</v>
      </c>
    </row>
    <row r="163" spans="6:31" x14ac:dyDescent="0.25">
      <c r="F163" s="278">
        <f t="shared" si="1"/>
        <v>8</v>
      </c>
      <c r="G163" s="279">
        <f>MMULT(INDEX(ReportAssetWeightsAdverse,ROW()-ROW(G$135),1):INDEX(ReportAssetWeightsAdverse,ROW()-ROW(G$135),NumberOfAssets),INT(INDEX(tblAssetMenuSpecs[IsEquities],1):(INDEX(tblAssetMenuSpecs[IsEquities],NumberOfAssets))))</f>
        <v>0</v>
      </c>
      <c r="H163" s="279">
        <f>MMULT(INDEX(ReportAssetWeightsAdverse,ROW()-ROW(H$135),1):INDEX(ReportAssetWeightsAdverse,ROW()-ROW(H$135),NumberOfAssets),INT(INDEX(tblAssetMenuSpecs[IsRealEstate],1):(INDEX(tblAssetMenuSpecs[IsRealEstate],NumberOfAssets))))</f>
        <v>0</v>
      </c>
      <c r="I163" s="279">
        <f>MMULT(INDEX(ReportAssetWeightsAdverse,ROW()-ROW(I$135),1):INDEX(ReportAssetWeightsAdverse,ROW()-ROW(I$135),NumberOfAssets),INT(INDEX(tblAssetMenuSpecs[IsAlternatives],1):(INDEX(tblAssetMenuSpecs[IsAlternatives],NumberOfAssets))))</f>
        <v>0</v>
      </c>
      <c r="J163" s="279">
        <f>MMULT(INDEX(ReportAssetWeightsAdverse,ROW()-ROW(J$135),1):INDEX(ReportAssetWeightsAdverse,ROW()-ROW(J$135),NumberOfAssets),INT(INDEX(tblAssetMenuSpecs[IsFixedIncome],1):(INDEX(tblAssetMenuSpecs[IsFixedIncome],NumberOfAssets))))</f>
        <v>1</v>
      </c>
      <c r="L163" s="280">
        <f>MMULT(INDEX(ReportAssetWeightsAdverse,ROW()-ROW(L$135),1):INDEX(ReportAssetWeightsAdverse,ROW()-ROW(L$135),NumberOfAssets),INT(INDEX(tblAssetMenuSpecs[Is Equities EU],1):(INDEX(tblAssetMenuSpecs[Is Equities EU],NumberOfAssets))))</f>
        <v>0</v>
      </c>
      <c r="M163" s="280">
        <f>MMULT(INDEX(ReportAssetWeightsAdverse,ROW()-ROW(M$135),1):INDEX(ReportAssetWeightsAdverse,ROW()-ROW(M$135),NumberOfAssets),INT(INDEX(tblAssetMenuSpecs[Is Equities US],1):(INDEX(tblAssetMenuSpecs[Is Equities US],NumberOfAssets))))</f>
        <v>0</v>
      </c>
      <c r="N163" s="280">
        <f>MMULT(INDEX(ReportAssetWeightsAdverse,ROW()-ROW(N$135),1):INDEX(ReportAssetWeightsAdverse,ROW()-ROW(N$135),NumberOfAssets),INT(INDEX(tblAssetMenuSpecs[Is Equities Other Developed Markets],1):(INDEX(tblAssetMenuSpecs[Is Equities Other Developed Markets],NumberOfAssets))))</f>
        <v>0</v>
      </c>
      <c r="O163" s="280">
        <f>MMULT(INDEX(ReportAssetWeightsAdverse,ROW()-ROW(O$135),1):INDEX(ReportAssetWeightsAdverse,ROW()-ROW(O$135),NumberOfAssets),INT(INDEX(tblAssetMenuSpecs[Is Equities Emerging Markets],1):(INDEX(tblAssetMenuSpecs[Is Equities Emerging Markets],NumberOfAssets))))</f>
        <v>0</v>
      </c>
      <c r="P163" s="280">
        <f>MMULT(INDEX(ReportAssetWeightsAdverse,ROW()-ROW(P$135),1):INDEX(ReportAssetWeightsAdverse,ROW()-ROW(P$135),NumberOfAssets),INT(INDEX(tblAssetMenuSpecs[Is Commodities],1):(INDEX(tblAssetMenuSpecs[Is Commodities],NumberOfAssets))))</f>
        <v>0</v>
      </c>
      <c r="Q163" s="280">
        <f>MMULT(INDEX(ReportAssetWeightsAdverse,ROW()-ROW(Q$135),1):INDEX(ReportAssetWeightsAdverse,ROW()-ROW(Q$135),NumberOfAssets),INT(INDEX(tblAssetMenuSpecs[Is Private Equity],1):(INDEX(tblAssetMenuSpecs[Is Private Equity],NumberOfAssets))))</f>
        <v>0</v>
      </c>
      <c r="R163" s="280">
        <f>MMULT(INDEX(ReportAssetWeightsAdverse,ROW()-ROW(R$135),1):INDEX(ReportAssetWeightsAdverse,ROW()-ROW(R$135),NumberOfAssets),INT(INDEX(tblAssetMenuSpecs[Is Hedge Funds],1):(INDEX(tblAssetMenuSpecs[Is Hedge Funds],NumberOfAssets))))</f>
        <v>0</v>
      </c>
      <c r="S163" s="280">
        <f>MMULT(INDEX(ReportAssetWeightsAdverse,ROW()-ROW(S$135),1):INDEX(ReportAssetWeightsAdverse,ROW()-ROW(S$135),NumberOfAssets),INT(INDEX(tblAssetMenuSpecs[Is Real Estate EU],1):(INDEX(tblAssetMenuSpecs[Is Real Estate EU],NumberOfAssets))))</f>
        <v>0</v>
      </c>
      <c r="T163" s="280">
        <f>MMULT(INDEX(ReportAssetWeightsAdverse,ROW()-ROW(T$135),1):INDEX(ReportAssetWeightsAdverse,ROW()-ROW(T$135),NumberOfAssets),INT(INDEX(tblAssetMenuSpecs[Is Real Estate US],1):(INDEX(tblAssetMenuSpecs[Is Real Estate US],NumberOfAssets))))</f>
        <v>0</v>
      </c>
      <c r="U163" s="280">
        <f>MMULT(INDEX(ReportAssetWeightsAdverse,ROW()-ROW(U$135),1):INDEX(ReportAssetWeightsAdverse,ROW()-ROW(U$135),NumberOfAssets),INT(INDEX(tblAssetMenuSpecs[Is Real Estate Other Developed Markets],1):(INDEX(tblAssetMenuSpecs[Is Real Estate Other Developed Markets],NumberOfAssets))))</f>
        <v>0</v>
      </c>
      <c r="V163" s="280">
        <f>MMULT(INDEX(ReportAssetWeightsAdverse,ROW()-ROW(V$135),1):INDEX(ReportAssetWeightsAdverse,ROW()-ROW(V$135),NumberOfAssets),INT(INDEX(tblAssetMenuSpecs[Is Real Estate Commercial EU (non-leveraged)],1):(INDEX(tblAssetMenuSpecs[Is Real Estate Commercial EU (non-leveraged)],NumberOfAssets))))</f>
        <v>0</v>
      </c>
      <c r="W163" s="280">
        <f>MMULT(INDEX(ReportAssetWeightsAdverse,ROW()-ROW(W$135),1):INDEX(ReportAssetWeightsAdverse,ROW()-ROW(W$135),NumberOfAssets),INT(INDEX(tblAssetMenuSpecs[Is Real Estate Residential EU (non-leveraged)],1):(INDEX(tblAssetMenuSpecs[Is Real Estate Residential EU (non-leveraged)],NumberOfAssets))))</f>
        <v>0</v>
      </c>
      <c r="X163" s="280">
        <f>MMULT(INDEX(ReportAssetWeightsAdverse,ROW()-ROW(X$135),1):INDEX(ReportAssetWeightsAdverse,ROW()-ROW(X$135),NumberOfAssets),INT(INDEX(tblAssetMenuSpecs[Is Government Bond EU],1):(INDEX(tblAssetMenuSpecs[Is Government Bond EU],NumberOfAssets))))</f>
        <v>0</v>
      </c>
      <c r="Y163" s="280">
        <f>MMULT(INDEX(ReportAssetWeightsAdverse,ROW()-ROW(Y$135),1):INDEX(ReportAssetWeightsAdverse,ROW()-ROW(Y$135),NumberOfAssets),INT(INDEX(tblAssetMenuSpecs[Is Government Bond US],1):(INDEX(tblAssetMenuSpecs[Is Government Bond US],NumberOfAssets))))</f>
        <v>0</v>
      </c>
      <c r="Z163" s="280">
        <f>MMULT(INDEX(ReportAssetWeightsAdverse,ROW()-ROW(Z$135),1):INDEX(ReportAssetWeightsAdverse,ROW()-ROW(Z$135),NumberOfAssets),INT(INDEX(tblAssetMenuSpecs[Is Government Bond Other Developed Markets],1):(INDEX(tblAssetMenuSpecs[Is Government Bond Other Developed Markets],NumberOfAssets))))</f>
        <v>0</v>
      </c>
      <c r="AA163" s="280">
        <f>MMULT(INDEX(ReportAssetWeightsAdverse,ROW()-ROW(AA$135),1):INDEX(ReportAssetWeightsAdverse,ROW()-ROW(AA$135),NumberOfAssets),INT(INDEX(tblAssetMenuSpecs[Is Government Bond Emerging Markets],1):(INDEX(tblAssetMenuSpecs[Is Government Bond Emerging Markets],NumberOfAssets))))</f>
        <v>0</v>
      </c>
      <c r="AB163" s="280">
        <f>MMULT(INDEX(ReportAssetWeightsAdverse,ROW()-ROW(AB$135),1):INDEX(ReportAssetWeightsAdverse,ROW()-ROW(AB$135),NumberOfAssets),INT(INDEX(tblAssetMenuSpecs[Is Corporate Bond],1):(INDEX(tblAssetMenuSpecs[Is Corporate Bond],NumberOfAssets))))</f>
        <v>0</v>
      </c>
      <c r="AC163" s="280">
        <f>MMULT(INDEX(ReportAssetWeightsAdverse,ROW()-ROW(AC$135),1):INDEX(ReportAssetWeightsAdverse,ROW()-ROW(AC$135),NumberOfAssets),INT(INDEX(tblAssetMenuSpecs[Is Corporate Bond Non-Financial],1):(INDEX(tblAssetMenuSpecs[Is Corporate Bond Non-Financial],NumberOfAssets))))</f>
        <v>0</v>
      </c>
      <c r="AD163" s="280">
        <f>MMULT(INDEX(ReportAssetWeightsAdverse,ROW()-ROW(AD$135),1):INDEX(ReportAssetWeightsAdverse,ROW()-ROW(AD$135),NumberOfAssets),INT(INDEX(tblAssetMenuSpecs[Is Corporate Bond Financial],1):(INDEX(tblAssetMenuSpecs[Is Corporate Bond Financial],NumberOfAssets))))</f>
        <v>0</v>
      </c>
      <c r="AE163" s="280">
        <f>MMULT(INDEX(ReportAssetWeightsAdverse,ROW()-ROW(AE$135),1):INDEX(ReportAssetWeightsAdverse,ROW()-ROW(AE$135),NumberOfAssets),INT(INDEX(tblAssetMenuSpecs[Is Cash and Deposits],1):(INDEX(tblAssetMenuSpecs[Is Cash and Deposits],NumberOfAssets))))</f>
        <v>1</v>
      </c>
    </row>
    <row r="164" spans="6:31" x14ac:dyDescent="0.25">
      <c r="F164" s="278">
        <f t="shared" si="1"/>
        <v>7</v>
      </c>
      <c r="G164" s="279">
        <f>MMULT(INDEX(ReportAssetWeightsAdverse,ROW()-ROW(G$135),1):INDEX(ReportAssetWeightsAdverse,ROW()-ROW(G$135),NumberOfAssets),INT(INDEX(tblAssetMenuSpecs[IsEquities],1):(INDEX(tblAssetMenuSpecs[IsEquities],NumberOfAssets))))</f>
        <v>0</v>
      </c>
      <c r="H164" s="279">
        <f>MMULT(INDEX(ReportAssetWeightsAdverse,ROW()-ROW(H$135),1):INDEX(ReportAssetWeightsAdverse,ROW()-ROW(H$135),NumberOfAssets),INT(INDEX(tblAssetMenuSpecs[IsRealEstate],1):(INDEX(tblAssetMenuSpecs[IsRealEstate],NumberOfAssets))))</f>
        <v>0</v>
      </c>
      <c r="I164" s="279">
        <f>MMULT(INDEX(ReportAssetWeightsAdverse,ROW()-ROW(I$135),1):INDEX(ReportAssetWeightsAdverse,ROW()-ROW(I$135),NumberOfAssets),INT(INDEX(tblAssetMenuSpecs[IsAlternatives],1):(INDEX(tblAssetMenuSpecs[IsAlternatives],NumberOfAssets))))</f>
        <v>0</v>
      </c>
      <c r="J164" s="279">
        <f>MMULT(INDEX(ReportAssetWeightsAdverse,ROW()-ROW(J$135),1):INDEX(ReportAssetWeightsAdverse,ROW()-ROW(J$135),NumberOfAssets),INT(INDEX(tblAssetMenuSpecs[IsFixedIncome],1):(INDEX(tblAssetMenuSpecs[IsFixedIncome],NumberOfAssets))))</f>
        <v>1</v>
      </c>
      <c r="L164" s="280">
        <f>MMULT(INDEX(ReportAssetWeightsAdverse,ROW()-ROW(L$135),1):INDEX(ReportAssetWeightsAdverse,ROW()-ROW(L$135),NumberOfAssets),INT(INDEX(tblAssetMenuSpecs[Is Equities EU],1):(INDEX(tblAssetMenuSpecs[Is Equities EU],NumberOfAssets))))</f>
        <v>0</v>
      </c>
      <c r="M164" s="280">
        <f>MMULT(INDEX(ReportAssetWeightsAdverse,ROW()-ROW(M$135),1):INDEX(ReportAssetWeightsAdverse,ROW()-ROW(M$135),NumberOfAssets),INT(INDEX(tblAssetMenuSpecs[Is Equities US],1):(INDEX(tblAssetMenuSpecs[Is Equities US],NumberOfAssets))))</f>
        <v>0</v>
      </c>
      <c r="N164" s="280">
        <f>MMULT(INDEX(ReportAssetWeightsAdverse,ROW()-ROW(N$135),1):INDEX(ReportAssetWeightsAdverse,ROW()-ROW(N$135),NumberOfAssets),INT(INDEX(tblAssetMenuSpecs[Is Equities Other Developed Markets],1):(INDEX(tblAssetMenuSpecs[Is Equities Other Developed Markets],NumberOfAssets))))</f>
        <v>0</v>
      </c>
      <c r="O164" s="280">
        <f>MMULT(INDEX(ReportAssetWeightsAdverse,ROW()-ROW(O$135),1):INDEX(ReportAssetWeightsAdverse,ROW()-ROW(O$135),NumberOfAssets),INT(INDEX(tblAssetMenuSpecs[Is Equities Emerging Markets],1):(INDEX(tblAssetMenuSpecs[Is Equities Emerging Markets],NumberOfAssets))))</f>
        <v>0</v>
      </c>
      <c r="P164" s="280">
        <f>MMULT(INDEX(ReportAssetWeightsAdverse,ROW()-ROW(P$135),1):INDEX(ReportAssetWeightsAdverse,ROW()-ROW(P$135),NumberOfAssets),INT(INDEX(tblAssetMenuSpecs[Is Commodities],1):(INDEX(tblAssetMenuSpecs[Is Commodities],NumberOfAssets))))</f>
        <v>0</v>
      </c>
      <c r="Q164" s="280">
        <f>MMULT(INDEX(ReportAssetWeightsAdverse,ROW()-ROW(Q$135),1):INDEX(ReportAssetWeightsAdverse,ROW()-ROW(Q$135),NumberOfAssets),INT(INDEX(tblAssetMenuSpecs[Is Private Equity],1):(INDEX(tblAssetMenuSpecs[Is Private Equity],NumberOfAssets))))</f>
        <v>0</v>
      </c>
      <c r="R164" s="280">
        <f>MMULT(INDEX(ReportAssetWeightsAdverse,ROW()-ROW(R$135),1):INDEX(ReportAssetWeightsAdverse,ROW()-ROW(R$135),NumberOfAssets),INT(INDEX(tblAssetMenuSpecs[Is Hedge Funds],1):(INDEX(tblAssetMenuSpecs[Is Hedge Funds],NumberOfAssets))))</f>
        <v>0</v>
      </c>
      <c r="S164" s="280">
        <f>MMULT(INDEX(ReportAssetWeightsAdverse,ROW()-ROW(S$135),1):INDEX(ReportAssetWeightsAdverse,ROW()-ROW(S$135),NumberOfAssets),INT(INDEX(tblAssetMenuSpecs[Is Real Estate EU],1):(INDEX(tblAssetMenuSpecs[Is Real Estate EU],NumberOfAssets))))</f>
        <v>0</v>
      </c>
      <c r="T164" s="280">
        <f>MMULT(INDEX(ReportAssetWeightsAdverse,ROW()-ROW(T$135),1):INDEX(ReportAssetWeightsAdverse,ROW()-ROW(T$135),NumberOfAssets),INT(INDEX(tblAssetMenuSpecs[Is Real Estate US],1):(INDEX(tblAssetMenuSpecs[Is Real Estate US],NumberOfAssets))))</f>
        <v>0</v>
      </c>
      <c r="U164" s="280">
        <f>MMULT(INDEX(ReportAssetWeightsAdverse,ROW()-ROW(U$135),1):INDEX(ReportAssetWeightsAdverse,ROW()-ROW(U$135),NumberOfAssets),INT(INDEX(tblAssetMenuSpecs[Is Real Estate Other Developed Markets],1):(INDEX(tblAssetMenuSpecs[Is Real Estate Other Developed Markets],NumberOfAssets))))</f>
        <v>0</v>
      </c>
      <c r="V164" s="280">
        <f>MMULT(INDEX(ReportAssetWeightsAdverse,ROW()-ROW(V$135),1):INDEX(ReportAssetWeightsAdverse,ROW()-ROW(V$135),NumberOfAssets),INT(INDEX(tblAssetMenuSpecs[Is Real Estate Commercial EU (non-leveraged)],1):(INDEX(tblAssetMenuSpecs[Is Real Estate Commercial EU (non-leveraged)],NumberOfAssets))))</f>
        <v>0</v>
      </c>
      <c r="W164" s="280">
        <f>MMULT(INDEX(ReportAssetWeightsAdverse,ROW()-ROW(W$135),1):INDEX(ReportAssetWeightsAdverse,ROW()-ROW(W$135),NumberOfAssets),INT(INDEX(tblAssetMenuSpecs[Is Real Estate Residential EU (non-leveraged)],1):(INDEX(tblAssetMenuSpecs[Is Real Estate Residential EU (non-leveraged)],NumberOfAssets))))</f>
        <v>0</v>
      </c>
      <c r="X164" s="280">
        <f>MMULT(INDEX(ReportAssetWeightsAdverse,ROW()-ROW(X$135),1):INDEX(ReportAssetWeightsAdverse,ROW()-ROW(X$135),NumberOfAssets),INT(INDEX(tblAssetMenuSpecs[Is Government Bond EU],1):(INDEX(tblAssetMenuSpecs[Is Government Bond EU],NumberOfAssets))))</f>
        <v>0</v>
      </c>
      <c r="Y164" s="280">
        <f>MMULT(INDEX(ReportAssetWeightsAdverse,ROW()-ROW(Y$135),1):INDEX(ReportAssetWeightsAdverse,ROW()-ROW(Y$135),NumberOfAssets),INT(INDEX(tblAssetMenuSpecs[Is Government Bond US],1):(INDEX(tblAssetMenuSpecs[Is Government Bond US],NumberOfAssets))))</f>
        <v>0</v>
      </c>
      <c r="Z164" s="280">
        <f>MMULT(INDEX(ReportAssetWeightsAdverse,ROW()-ROW(Z$135),1):INDEX(ReportAssetWeightsAdverse,ROW()-ROW(Z$135),NumberOfAssets),INT(INDEX(tblAssetMenuSpecs[Is Government Bond Other Developed Markets],1):(INDEX(tblAssetMenuSpecs[Is Government Bond Other Developed Markets],NumberOfAssets))))</f>
        <v>0</v>
      </c>
      <c r="AA164" s="280">
        <f>MMULT(INDEX(ReportAssetWeightsAdverse,ROW()-ROW(AA$135),1):INDEX(ReportAssetWeightsAdverse,ROW()-ROW(AA$135),NumberOfAssets),INT(INDEX(tblAssetMenuSpecs[Is Government Bond Emerging Markets],1):(INDEX(tblAssetMenuSpecs[Is Government Bond Emerging Markets],NumberOfAssets))))</f>
        <v>0</v>
      </c>
      <c r="AB164" s="280">
        <f>MMULT(INDEX(ReportAssetWeightsAdverse,ROW()-ROW(AB$135),1):INDEX(ReportAssetWeightsAdverse,ROW()-ROW(AB$135),NumberOfAssets),INT(INDEX(tblAssetMenuSpecs[Is Corporate Bond],1):(INDEX(tblAssetMenuSpecs[Is Corporate Bond],NumberOfAssets))))</f>
        <v>0</v>
      </c>
      <c r="AC164" s="280">
        <f>MMULT(INDEX(ReportAssetWeightsAdverse,ROW()-ROW(AC$135),1):INDEX(ReportAssetWeightsAdverse,ROW()-ROW(AC$135),NumberOfAssets),INT(INDEX(tblAssetMenuSpecs[Is Corporate Bond Non-Financial],1):(INDEX(tblAssetMenuSpecs[Is Corporate Bond Non-Financial],NumberOfAssets))))</f>
        <v>0</v>
      </c>
      <c r="AD164" s="280">
        <f>MMULT(INDEX(ReportAssetWeightsAdverse,ROW()-ROW(AD$135),1):INDEX(ReportAssetWeightsAdverse,ROW()-ROW(AD$135),NumberOfAssets),INT(INDEX(tblAssetMenuSpecs[Is Corporate Bond Financial],1):(INDEX(tblAssetMenuSpecs[Is Corporate Bond Financial],NumberOfAssets))))</f>
        <v>0</v>
      </c>
      <c r="AE164" s="280">
        <f>MMULT(INDEX(ReportAssetWeightsAdverse,ROW()-ROW(AE$135),1):INDEX(ReportAssetWeightsAdverse,ROW()-ROW(AE$135),NumberOfAssets),INT(INDEX(tblAssetMenuSpecs[Is Cash and Deposits],1):(INDEX(tblAssetMenuSpecs[Is Cash and Deposits],NumberOfAssets))))</f>
        <v>1</v>
      </c>
    </row>
    <row r="165" spans="6:31" x14ac:dyDescent="0.25">
      <c r="F165" s="278">
        <f t="shared" si="1"/>
        <v>6</v>
      </c>
      <c r="G165" s="279">
        <f>MMULT(INDEX(ReportAssetWeightsAdverse,ROW()-ROW(G$135),1):INDEX(ReportAssetWeightsAdverse,ROW()-ROW(G$135),NumberOfAssets),INT(INDEX(tblAssetMenuSpecs[IsEquities],1):(INDEX(tblAssetMenuSpecs[IsEquities],NumberOfAssets))))</f>
        <v>0</v>
      </c>
      <c r="H165" s="279">
        <f>MMULT(INDEX(ReportAssetWeightsAdverse,ROW()-ROW(H$135),1):INDEX(ReportAssetWeightsAdverse,ROW()-ROW(H$135),NumberOfAssets),INT(INDEX(tblAssetMenuSpecs[IsRealEstate],1):(INDEX(tblAssetMenuSpecs[IsRealEstate],NumberOfAssets))))</f>
        <v>0</v>
      </c>
      <c r="I165" s="279">
        <f>MMULT(INDEX(ReportAssetWeightsAdverse,ROW()-ROW(I$135),1):INDEX(ReportAssetWeightsAdverse,ROW()-ROW(I$135),NumberOfAssets),INT(INDEX(tblAssetMenuSpecs[IsAlternatives],1):(INDEX(tblAssetMenuSpecs[IsAlternatives],NumberOfAssets))))</f>
        <v>0</v>
      </c>
      <c r="J165" s="279">
        <f>MMULT(INDEX(ReportAssetWeightsAdverse,ROW()-ROW(J$135),1):INDEX(ReportAssetWeightsAdverse,ROW()-ROW(J$135),NumberOfAssets),INT(INDEX(tblAssetMenuSpecs[IsFixedIncome],1):(INDEX(tblAssetMenuSpecs[IsFixedIncome],NumberOfAssets))))</f>
        <v>1</v>
      </c>
      <c r="L165" s="280">
        <f>MMULT(INDEX(ReportAssetWeightsAdverse,ROW()-ROW(L$135),1):INDEX(ReportAssetWeightsAdverse,ROW()-ROW(L$135),NumberOfAssets),INT(INDEX(tblAssetMenuSpecs[Is Equities EU],1):(INDEX(tblAssetMenuSpecs[Is Equities EU],NumberOfAssets))))</f>
        <v>0</v>
      </c>
      <c r="M165" s="280">
        <f>MMULT(INDEX(ReportAssetWeightsAdverse,ROW()-ROW(M$135),1):INDEX(ReportAssetWeightsAdverse,ROW()-ROW(M$135),NumberOfAssets),INT(INDEX(tblAssetMenuSpecs[Is Equities US],1):(INDEX(tblAssetMenuSpecs[Is Equities US],NumberOfAssets))))</f>
        <v>0</v>
      </c>
      <c r="N165" s="280">
        <f>MMULT(INDEX(ReportAssetWeightsAdverse,ROW()-ROW(N$135),1):INDEX(ReportAssetWeightsAdverse,ROW()-ROW(N$135),NumberOfAssets),INT(INDEX(tblAssetMenuSpecs[Is Equities Other Developed Markets],1):(INDEX(tblAssetMenuSpecs[Is Equities Other Developed Markets],NumberOfAssets))))</f>
        <v>0</v>
      </c>
      <c r="O165" s="280">
        <f>MMULT(INDEX(ReportAssetWeightsAdverse,ROW()-ROW(O$135),1):INDEX(ReportAssetWeightsAdverse,ROW()-ROW(O$135),NumberOfAssets),INT(INDEX(tblAssetMenuSpecs[Is Equities Emerging Markets],1):(INDEX(tblAssetMenuSpecs[Is Equities Emerging Markets],NumberOfAssets))))</f>
        <v>0</v>
      </c>
      <c r="P165" s="280">
        <f>MMULT(INDEX(ReportAssetWeightsAdverse,ROW()-ROW(P$135),1):INDEX(ReportAssetWeightsAdverse,ROW()-ROW(P$135),NumberOfAssets),INT(INDEX(tblAssetMenuSpecs[Is Commodities],1):(INDEX(tblAssetMenuSpecs[Is Commodities],NumberOfAssets))))</f>
        <v>0</v>
      </c>
      <c r="Q165" s="280">
        <f>MMULT(INDEX(ReportAssetWeightsAdverse,ROW()-ROW(Q$135),1):INDEX(ReportAssetWeightsAdverse,ROW()-ROW(Q$135),NumberOfAssets),INT(INDEX(tblAssetMenuSpecs[Is Private Equity],1):(INDEX(tblAssetMenuSpecs[Is Private Equity],NumberOfAssets))))</f>
        <v>0</v>
      </c>
      <c r="R165" s="280">
        <f>MMULT(INDEX(ReportAssetWeightsAdverse,ROW()-ROW(R$135),1):INDEX(ReportAssetWeightsAdverse,ROW()-ROW(R$135),NumberOfAssets),INT(INDEX(tblAssetMenuSpecs[Is Hedge Funds],1):(INDEX(tblAssetMenuSpecs[Is Hedge Funds],NumberOfAssets))))</f>
        <v>0</v>
      </c>
      <c r="S165" s="280">
        <f>MMULT(INDEX(ReportAssetWeightsAdverse,ROW()-ROW(S$135),1):INDEX(ReportAssetWeightsAdverse,ROW()-ROW(S$135),NumberOfAssets),INT(INDEX(tblAssetMenuSpecs[Is Real Estate EU],1):(INDEX(tblAssetMenuSpecs[Is Real Estate EU],NumberOfAssets))))</f>
        <v>0</v>
      </c>
      <c r="T165" s="280">
        <f>MMULT(INDEX(ReportAssetWeightsAdverse,ROW()-ROW(T$135),1):INDEX(ReportAssetWeightsAdverse,ROW()-ROW(T$135),NumberOfAssets),INT(INDEX(tblAssetMenuSpecs[Is Real Estate US],1):(INDEX(tblAssetMenuSpecs[Is Real Estate US],NumberOfAssets))))</f>
        <v>0</v>
      </c>
      <c r="U165" s="280">
        <f>MMULT(INDEX(ReportAssetWeightsAdverse,ROW()-ROW(U$135),1):INDEX(ReportAssetWeightsAdverse,ROW()-ROW(U$135),NumberOfAssets),INT(INDEX(tblAssetMenuSpecs[Is Real Estate Other Developed Markets],1):(INDEX(tblAssetMenuSpecs[Is Real Estate Other Developed Markets],NumberOfAssets))))</f>
        <v>0</v>
      </c>
      <c r="V165" s="280">
        <f>MMULT(INDEX(ReportAssetWeightsAdverse,ROW()-ROW(V$135),1):INDEX(ReportAssetWeightsAdverse,ROW()-ROW(V$135),NumberOfAssets),INT(INDEX(tblAssetMenuSpecs[Is Real Estate Commercial EU (non-leveraged)],1):(INDEX(tblAssetMenuSpecs[Is Real Estate Commercial EU (non-leveraged)],NumberOfAssets))))</f>
        <v>0</v>
      </c>
      <c r="W165" s="280">
        <f>MMULT(INDEX(ReportAssetWeightsAdverse,ROW()-ROW(W$135),1):INDEX(ReportAssetWeightsAdverse,ROW()-ROW(W$135),NumberOfAssets),INT(INDEX(tblAssetMenuSpecs[Is Real Estate Residential EU (non-leveraged)],1):(INDEX(tblAssetMenuSpecs[Is Real Estate Residential EU (non-leveraged)],NumberOfAssets))))</f>
        <v>0</v>
      </c>
      <c r="X165" s="280">
        <f>MMULT(INDEX(ReportAssetWeightsAdverse,ROW()-ROW(X$135),1):INDEX(ReportAssetWeightsAdverse,ROW()-ROW(X$135),NumberOfAssets),INT(INDEX(tblAssetMenuSpecs[Is Government Bond EU],1):(INDEX(tblAssetMenuSpecs[Is Government Bond EU],NumberOfAssets))))</f>
        <v>0</v>
      </c>
      <c r="Y165" s="280">
        <f>MMULT(INDEX(ReportAssetWeightsAdverse,ROW()-ROW(Y$135),1):INDEX(ReportAssetWeightsAdverse,ROW()-ROW(Y$135),NumberOfAssets),INT(INDEX(tblAssetMenuSpecs[Is Government Bond US],1):(INDEX(tblAssetMenuSpecs[Is Government Bond US],NumberOfAssets))))</f>
        <v>0</v>
      </c>
      <c r="Z165" s="280">
        <f>MMULT(INDEX(ReportAssetWeightsAdverse,ROW()-ROW(Z$135),1):INDEX(ReportAssetWeightsAdverse,ROW()-ROW(Z$135),NumberOfAssets),INT(INDEX(tblAssetMenuSpecs[Is Government Bond Other Developed Markets],1):(INDEX(tblAssetMenuSpecs[Is Government Bond Other Developed Markets],NumberOfAssets))))</f>
        <v>0</v>
      </c>
      <c r="AA165" s="280">
        <f>MMULT(INDEX(ReportAssetWeightsAdverse,ROW()-ROW(AA$135),1):INDEX(ReportAssetWeightsAdverse,ROW()-ROW(AA$135),NumberOfAssets),INT(INDEX(tblAssetMenuSpecs[Is Government Bond Emerging Markets],1):(INDEX(tblAssetMenuSpecs[Is Government Bond Emerging Markets],NumberOfAssets))))</f>
        <v>0</v>
      </c>
      <c r="AB165" s="280">
        <f>MMULT(INDEX(ReportAssetWeightsAdverse,ROW()-ROW(AB$135),1):INDEX(ReportAssetWeightsAdverse,ROW()-ROW(AB$135),NumberOfAssets),INT(INDEX(tblAssetMenuSpecs[Is Corporate Bond],1):(INDEX(tblAssetMenuSpecs[Is Corporate Bond],NumberOfAssets))))</f>
        <v>0</v>
      </c>
      <c r="AC165" s="280">
        <f>MMULT(INDEX(ReportAssetWeightsAdverse,ROW()-ROW(AC$135),1):INDEX(ReportAssetWeightsAdverse,ROW()-ROW(AC$135),NumberOfAssets),INT(INDEX(tblAssetMenuSpecs[Is Corporate Bond Non-Financial],1):(INDEX(tblAssetMenuSpecs[Is Corporate Bond Non-Financial],NumberOfAssets))))</f>
        <v>0</v>
      </c>
      <c r="AD165" s="280">
        <f>MMULT(INDEX(ReportAssetWeightsAdverse,ROW()-ROW(AD$135),1):INDEX(ReportAssetWeightsAdverse,ROW()-ROW(AD$135),NumberOfAssets),INT(INDEX(tblAssetMenuSpecs[Is Corporate Bond Financial],1):(INDEX(tblAssetMenuSpecs[Is Corporate Bond Financial],NumberOfAssets))))</f>
        <v>0</v>
      </c>
      <c r="AE165" s="280">
        <f>MMULT(INDEX(ReportAssetWeightsAdverse,ROW()-ROW(AE$135),1):INDEX(ReportAssetWeightsAdverse,ROW()-ROW(AE$135),NumberOfAssets),INT(INDEX(tblAssetMenuSpecs[Is Cash and Deposits],1):(INDEX(tblAssetMenuSpecs[Is Cash and Deposits],NumberOfAssets))))</f>
        <v>1</v>
      </c>
    </row>
    <row r="166" spans="6:31" x14ac:dyDescent="0.25">
      <c r="F166" s="278">
        <f t="shared" si="1"/>
        <v>5</v>
      </c>
      <c r="G166" s="279">
        <f>MMULT(INDEX(ReportAssetWeightsAdverse,ROW()-ROW(G$135),1):INDEX(ReportAssetWeightsAdverse,ROW()-ROW(G$135),NumberOfAssets),INT(INDEX(tblAssetMenuSpecs[IsEquities],1):(INDEX(tblAssetMenuSpecs[IsEquities],NumberOfAssets))))</f>
        <v>0</v>
      </c>
      <c r="H166" s="279">
        <f>MMULT(INDEX(ReportAssetWeightsAdverse,ROW()-ROW(H$135),1):INDEX(ReportAssetWeightsAdverse,ROW()-ROW(H$135),NumberOfAssets),INT(INDEX(tblAssetMenuSpecs[IsRealEstate],1):(INDEX(tblAssetMenuSpecs[IsRealEstate],NumberOfAssets))))</f>
        <v>0</v>
      </c>
      <c r="I166" s="279">
        <f>MMULT(INDEX(ReportAssetWeightsAdverse,ROW()-ROW(I$135),1):INDEX(ReportAssetWeightsAdverse,ROW()-ROW(I$135),NumberOfAssets),INT(INDEX(tblAssetMenuSpecs[IsAlternatives],1):(INDEX(tblAssetMenuSpecs[IsAlternatives],NumberOfAssets))))</f>
        <v>0</v>
      </c>
      <c r="J166" s="279">
        <f>MMULT(INDEX(ReportAssetWeightsAdverse,ROW()-ROW(J$135),1):INDEX(ReportAssetWeightsAdverse,ROW()-ROW(J$135),NumberOfAssets),INT(INDEX(tblAssetMenuSpecs[IsFixedIncome],1):(INDEX(tblAssetMenuSpecs[IsFixedIncome],NumberOfAssets))))</f>
        <v>1</v>
      </c>
      <c r="L166" s="280">
        <f>MMULT(INDEX(ReportAssetWeightsAdverse,ROW()-ROW(L$135),1):INDEX(ReportAssetWeightsAdverse,ROW()-ROW(L$135),NumberOfAssets),INT(INDEX(tblAssetMenuSpecs[Is Equities EU],1):(INDEX(tblAssetMenuSpecs[Is Equities EU],NumberOfAssets))))</f>
        <v>0</v>
      </c>
      <c r="M166" s="280">
        <f>MMULT(INDEX(ReportAssetWeightsAdverse,ROW()-ROW(M$135),1):INDEX(ReportAssetWeightsAdverse,ROW()-ROW(M$135),NumberOfAssets),INT(INDEX(tblAssetMenuSpecs[Is Equities US],1):(INDEX(tblAssetMenuSpecs[Is Equities US],NumberOfAssets))))</f>
        <v>0</v>
      </c>
      <c r="N166" s="280">
        <f>MMULT(INDEX(ReportAssetWeightsAdverse,ROW()-ROW(N$135),1):INDEX(ReportAssetWeightsAdverse,ROW()-ROW(N$135),NumberOfAssets),INT(INDEX(tblAssetMenuSpecs[Is Equities Other Developed Markets],1):(INDEX(tblAssetMenuSpecs[Is Equities Other Developed Markets],NumberOfAssets))))</f>
        <v>0</v>
      </c>
      <c r="O166" s="280">
        <f>MMULT(INDEX(ReportAssetWeightsAdverse,ROW()-ROW(O$135),1):INDEX(ReportAssetWeightsAdverse,ROW()-ROW(O$135),NumberOfAssets),INT(INDEX(tblAssetMenuSpecs[Is Equities Emerging Markets],1):(INDEX(tblAssetMenuSpecs[Is Equities Emerging Markets],NumberOfAssets))))</f>
        <v>0</v>
      </c>
      <c r="P166" s="280">
        <f>MMULT(INDEX(ReportAssetWeightsAdverse,ROW()-ROW(P$135),1):INDEX(ReportAssetWeightsAdverse,ROW()-ROW(P$135),NumberOfAssets),INT(INDEX(tblAssetMenuSpecs[Is Commodities],1):(INDEX(tblAssetMenuSpecs[Is Commodities],NumberOfAssets))))</f>
        <v>0</v>
      </c>
      <c r="Q166" s="280">
        <f>MMULT(INDEX(ReportAssetWeightsAdverse,ROW()-ROW(Q$135),1):INDEX(ReportAssetWeightsAdverse,ROW()-ROW(Q$135),NumberOfAssets),INT(INDEX(tblAssetMenuSpecs[Is Private Equity],1):(INDEX(tblAssetMenuSpecs[Is Private Equity],NumberOfAssets))))</f>
        <v>0</v>
      </c>
      <c r="R166" s="280">
        <f>MMULT(INDEX(ReportAssetWeightsAdverse,ROW()-ROW(R$135),1):INDEX(ReportAssetWeightsAdverse,ROW()-ROW(R$135),NumberOfAssets),INT(INDEX(tblAssetMenuSpecs[Is Hedge Funds],1):(INDEX(tblAssetMenuSpecs[Is Hedge Funds],NumberOfAssets))))</f>
        <v>0</v>
      </c>
      <c r="S166" s="280">
        <f>MMULT(INDEX(ReportAssetWeightsAdverse,ROW()-ROW(S$135),1):INDEX(ReportAssetWeightsAdverse,ROW()-ROW(S$135),NumberOfAssets),INT(INDEX(tblAssetMenuSpecs[Is Real Estate EU],1):(INDEX(tblAssetMenuSpecs[Is Real Estate EU],NumberOfAssets))))</f>
        <v>0</v>
      </c>
      <c r="T166" s="280">
        <f>MMULT(INDEX(ReportAssetWeightsAdverse,ROW()-ROW(T$135),1):INDEX(ReportAssetWeightsAdverse,ROW()-ROW(T$135),NumberOfAssets),INT(INDEX(tblAssetMenuSpecs[Is Real Estate US],1):(INDEX(tblAssetMenuSpecs[Is Real Estate US],NumberOfAssets))))</f>
        <v>0</v>
      </c>
      <c r="U166" s="280">
        <f>MMULT(INDEX(ReportAssetWeightsAdverse,ROW()-ROW(U$135),1):INDEX(ReportAssetWeightsAdverse,ROW()-ROW(U$135),NumberOfAssets),INT(INDEX(tblAssetMenuSpecs[Is Real Estate Other Developed Markets],1):(INDEX(tblAssetMenuSpecs[Is Real Estate Other Developed Markets],NumberOfAssets))))</f>
        <v>0</v>
      </c>
      <c r="V166" s="280">
        <f>MMULT(INDEX(ReportAssetWeightsAdverse,ROW()-ROW(V$135),1):INDEX(ReportAssetWeightsAdverse,ROW()-ROW(V$135),NumberOfAssets),INT(INDEX(tblAssetMenuSpecs[Is Real Estate Commercial EU (non-leveraged)],1):(INDEX(tblAssetMenuSpecs[Is Real Estate Commercial EU (non-leveraged)],NumberOfAssets))))</f>
        <v>0</v>
      </c>
      <c r="W166" s="280">
        <f>MMULT(INDEX(ReportAssetWeightsAdverse,ROW()-ROW(W$135),1):INDEX(ReportAssetWeightsAdverse,ROW()-ROW(W$135),NumberOfAssets),INT(INDEX(tblAssetMenuSpecs[Is Real Estate Residential EU (non-leveraged)],1):(INDEX(tblAssetMenuSpecs[Is Real Estate Residential EU (non-leveraged)],NumberOfAssets))))</f>
        <v>0</v>
      </c>
      <c r="X166" s="280">
        <f>MMULT(INDEX(ReportAssetWeightsAdverse,ROW()-ROW(X$135),1):INDEX(ReportAssetWeightsAdverse,ROW()-ROW(X$135),NumberOfAssets),INT(INDEX(tblAssetMenuSpecs[Is Government Bond EU],1):(INDEX(tblAssetMenuSpecs[Is Government Bond EU],NumberOfAssets))))</f>
        <v>0</v>
      </c>
      <c r="Y166" s="280">
        <f>MMULT(INDEX(ReportAssetWeightsAdverse,ROW()-ROW(Y$135),1):INDEX(ReportAssetWeightsAdverse,ROW()-ROW(Y$135),NumberOfAssets),INT(INDEX(tblAssetMenuSpecs[Is Government Bond US],1):(INDEX(tblAssetMenuSpecs[Is Government Bond US],NumberOfAssets))))</f>
        <v>0</v>
      </c>
      <c r="Z166" s="280">
        <f>MMULT(INDEX(ReportAssetWeightsAdverse,ROW()-ROW(Z$135),1):INDEX(ReportAssetWeightsAdverse,ROW()-ROW(Z$135),NumberOfAssets),INT(INDEX(tblAssetMenuSpecs[Is Government Bond Other Developed Markets],1):(INDEX(tblAssetMenuSpecs[Is Government Bond Other Developed Markets],NumberOfAssets))))</f>
        <v>0</v>
      </c>
      <c r="AA166" s="280">
        <f>MMULT(INDEX(ReportAssetWeightsAdverse,ROW()-ROW(AA$135),1):INDEX(ReportAssetWeightsAdverse,ROW()-ROW(AA$135),NumberOfAssets),INT(INDEX(tblAssetMenuSpecs[Is Government Bond Emerging Markets],1):(INDEX(tblAssetMenuSpecs[Is Government Bond Emerging Markets],NumberOfAssets))))</f>
        <v>0</v>
      </c>
      <c r="AB166" s="280">
        <f>MMULT(INDEX(ReportAssetWeightsAdverse,ROW()-ROW(AB$135),1):INDEX(ReportAssetWeightsAdverse,ROW()-ROW(AB$135),NumberOfAssets),INT(INDEX(tblAssetMenuSpecs[Is Corporate Bond],1):(INDEX(tblAssetMenuSpecs[Is Corporate Bond],NumberOfAssets))))</f>
        <v>0</v>
      </c>
      <c r="AC166" s="280">
        <f>MMULT(INDEX(ReportAssetWeightsAdverse,ROW()-ROW(AC$135),1):INDEX(ReportAssetWeightsAdverse,ROW()-ROW(AC$135),NumberOfAssets),INT(INDEX(tblAssetMenuSpecs[Is Corporate Bond Non-Financial],1):(INDEX(tblAssetMenuSpecs[Is Corporate Bond Non-Financial],NumberOfAssets))))</f>
        <v>0</v>
      </c>
      <c r="AD166" s="280">
        <f>MMULT(INDEX(ReportAssetWeightsAdverse,ROW()-ROW(AD$135),1):INDEX(ReportAssetWeightsAdverse,ROW()-ROW(AD$135),NumberOfAssets),INT(INDEX(tblAssetMenuSpecs[Is Corporate Bond Financial],1):(INDEX(tblAssetMenuSpecs[Is Corporate Bond Financial],NumberOfAssets))))</f>
        <v>0</v>
      </c>
      <c r="AE166" s="280">
        <f>MMULT(INDEX(ReportAssetWeightsAdverse,ROW()-ROW(AE$135),1):INDEX(ReportAssetWeightsAdverse,ROW()-ROW(AE$135),NumberOfAssets),INT(INDEX(tblAssetMenuSpecs[Is Cash and Deposits],1):(INDEX(tblAssetMenuSpecs[Is Cash and Deposits],NumberOfAssets))))</f>
        <v>1</v>
      </c>
    </row>
    <row r="167" spans="6:31" x14ac:dyDescent="0.25">
      <c r="F167" s="278">
        <f t="shared" si="1"/>
        <v>4</v>
      </c>
      <c r="G167" s="279">
        <f>MMULT(INDEX(ReportAssetWeightsAdverse,ROW()-ROW(G$135),1):INDEX(ReportAssetWeightsAdverse,ROW()-ROW(G$135),NumberOfAssets),INT(INDEX(tblAssetMenuSpecs[IsEquities],1):(INDEX(tblAssetMenuSpecs[IsEquities],NumberOfAssets))))</f>
        <v>0</v>
      </c>
      <c r="H167" s="279">
        <f>MMULT(INDEX(ReportAssetWeightsAdverse,ROW()-ROW(H$135),1):INDEX(ReportAssetWeightsAdverse,ROW()-ROW(H$135),NumberOfAssets),INT(INDEX(tblAssetMenuSpecs[IsRealEstate],1):(INDEX(tblAssetMenuSpecs[IsRealEstate],NumberOfAssets))))</f>
        <v>0</v>
      </c>
      <c r="I167" s="279">
        <f>MMULT(INDEX(ReportAssetWeightsAdverse,ROW()-ROW(I$135),1):INDEX(ReportAssetWeightsAdverse,ROW()-ROW(I$135),NumberOfAssets),INT(INDEX(tblAssetMenuSpecs[IsAlternatives],1):(INDEX(tblAssetMenuSpecs[IsAlternatives],NumberOfAssets))))</f>
        <v>0</v>
      </c>
      <c r="J167" s="279">
        <f>MMULT(INDEX(ReportAssetWeightsAdverse,ROW()-ROW(J$135),1):INDEX(ReportAssetWeightsAdverse,ROW()-ROW(J$135),NumberOfAssets),INT(INDEX(tblAssetMenuSpecs[IsFixedIncome],1):(INDEX(tblAssetMenuSpecs[IsFixedIncome],NumberOfAssets))))</f>
        <v>1</v>
      </c>
      <c r="L167" s="280">
        <f>MMULT(INDEX(ReportAssetWeightsAdverse,ROW()-ROW(L$135),1):INDEX(ReportAssetWeightsAdverse,ROW()-ROW(L$135),NumberOfAssets),INT(INDEX(tblAssetMenuSpecs[Is Equities EU],1):(INDEX(tblAssetMenuSpecs[Is Equities EU],NumberOfAssets))))</f>
        <v>0</v>
      </c>
      <c r="M167" s="280">
        <f>MMULT(INDEX(ReportAssetWeightsAdverse,ROW()-ROW(M$135),1):INDEX(ReportAssetWeightsAdverse,ROW()-ROW(M$135),NumberOfAssets),INT(INDEX(tblAssetMenuSpecs[Is Equities US],1):(INDEX(tblAssetMenuSpecs[Is Equities US],NumberOfAssets))))</f>
        <v>0</v>
      </c>
      <c r="N167" s="280">
        <f>MMULT(INDEX(ReportAssetWeightsAdverse,ROW()-ROW(N$135),1):INDEX(ReportAssetWeightsAdverse,ROW()-ROW(N$135),NumberOfAssets),INT(INDEX(tblAssetMenuSpecs[Is Equities Other Developed Markets],1):(INDEX(tblAssetMenuSpecs[Is Equities Other Developed Markets],NumberOfAssets))))</f>
        <v>0</v>
      </c>
      <c r="O167" s="280">
        <f>MMULT(INDEX(ReportAssetWeightsAdverse,ROW()-ROW(O$135),1):INDEX(ReportAssetWeightsAdverse,ROW()-ROW(O$135),NumberOfAssets),INT(INDEX(tblAssetMenuSpecs[Is Equities Emerging Markets],1):(INDEX(tblAssetMenuSpecs[Is Equities Emerging Markets],NumberOfAssets))))</f>
        <v>0</v>
      </c>
      <c r="P167" s="280">
        <f>MMULT(INDEX(ReportAssetWeightsAdverse,ROW()-ROW(P$135),1):INDEX(ReportAssetWeightsAdverse,ROW()-ROW(P$135),NumberOfAssets),INT(INDEX(tblAssetMenuSpecs[Is Commodities],1):(INDEX(tblAssetMenuSpecs[Is Commodities],NumberOfAssets))))</f>
        <v>0</v>
      </c>
      <c r="Q167" s="280">
        <f>MMULT(INDEX(ReportAssetWeightsAdverse,ROW()-ROW(Q$135),1):INDEX(ReportAssetWeightsAdverse,ROW()-ROW(Q$135),NumberOfAssets),INT(INDEX(tblAssetMenuSpecs[Is Private Equity],1):(INDEX(tblAssetMenuSpecs[Is Private Equity],NumberOfAssets))))</f>
        <v>0</v>
      </c>
      <c r="R167" s="280">
        <f>MMULT(INDEX(ReportAssetWeightsAdverse,ROW()-ROW(R$135),1):INDEX(ReportAssetWeightsAdverse,ROW()-ROW(R$135),NumberOfAssets),INT(INDEX(tblAssetMenuSpecs[Is Hedge Funds],1):(INDEX(tblAssetMenuSpecs[Is Hedge Funds],NumberOfAssets))))</f>
        <v>0</v>
      </c>
      <c r="S167" s="280">
        <f>MMULT(INDEX(ReportAssetWeightsAdverse,ROW()-ROW(S$135),1):INDEX(ReportAssetWeightsAdverse,ROW()-ROW(S$135),NumberOfAssets),INT(INDEX(tblAssetMenuSpecs[Is Real Estate EU],1):(INDEX(tblAssetMenuSpecs[Is Real Estate EU],NumberOfAssets))))</f>
        <v>0</v>
      </c>
      <c r="T167" s="280">
        <f>MMULT(INDEX(ReportAssetWeightsAdverse,ROW()-ROW(T$135),1):INDEX(ReportAssetWeightsAdverse,ROW()-ROW(T$135),NumberOfAssets),INT(INDEX(tblAssetMenuSpecs[Is Real Estate US],1):(INDEX(tblAssetMenuSpecs[Is Real Estate US],NumberOfAssets))))</f>
        <v>0</v>
      </c>
      <c r="U167" s="280">
        <f>MMULT(INDEX(ReportAssetWeightsAdverse,ROW()-ROW(U$135),1):INDEX(ReportAssetWeightsAdverse,ROW()-ROW(U$135),NumberOfAssets),INT(INDEX(tblAssetMenuSpecs[Is Real Estate Other Developed Markets],1):(INDEX(tblAssetMenuSpecs[Is Real Estate Other Developed Markets],NumberOfAssets))))</f>
        <v>0</v>
      </c>
      <c r="V167" s="280">
        <f>MMULT(INDEX(ReportAssetWeightsAdverse,ROW()-ROW(V$135),1):INDEX(ReportAssetWeightsAdverse,ROW()-ROW(V$135),NumberOfAssets),INT(INDEX(tblAssetMenuSpecs[Is Real Estate Commercial EU (non-leveraged)],1):(INDEX(tblAssetMenuSpecs[Is Real Estate Commercial EU (non-leveraged)],NumberOfAssets))))</f>
        <v>0</v>
      </c>
      <c r="W167" s="280">
        <f>MMULT(INDEX(ReportAssetWeightsAdverse,ROW()-ROW(W$135),1):INDEX(ReportAssetWeightsAdverse,ROW()-ROW(W$135),NumberOfAssets),INT(INDEX(tblAssetMenuSpecs[Is Real Estate Residential EU (non-leveraged)],1):(INDEX(tblAssetMenuSpecs[Is Real Estate Residential EU (non-leveraged)],NumberOfAssets))))</f>
        <v>0</v>
      </c>
      <c r="X167" s="280">
        <f>MMULT(INDEX(ReportAssetWeightsAdverse,ROW()-ROW(X$135),1):INDEX(ReportAssetWeightsAdverse,ROW()-ROW(X$135),NumberOfAssets),INT(INDEX(tblAssetMenuSpecs[Is Government Bond EU],1):(INDEX(tblAssetMenuSpecs[Is Government Bond EU],NumberOfAssets))))</f>
        <v>0</v>
      </c>
      <c r="Y167" s="280">
        <f>MMULT(INDEX(ReportAssetWeightsAdverse,ROW()-ROW(Y$135),1):INDEX(ReportAssetWeightsAdverse,ROW()-ROW(Y$135),NumberOfAssets),INT(INDEX(tblAssetMenuSpecs[Is Government Bond US],1):(INDEX(tblAssetMenuSpecs[Is Government Bond US],NumberOfAssets))))</f>
        <v>0</v>
      </c>
      <c r="Z167" s="280">
        <f>MMULT(INDEX(ReportAssetWeightsAdverse,ROW()-ROW(Z$135),1):INDEX(ReportAssetWeightsAdverse,ROW()-ROW(Z$135),NumberOfAssets),INT(INDEX(tblAssetMenuSpecs[Is Government Bond Other Developed Markets],1):(INDEX(tblAssetMenuSpecs[Is Government Bond Other Developed Markets],NumberOfAssets))))</f>
        <v>0</v>
      </c>
      <c r="AA167" s="280">
        <f>MMULT(INDEX(ReportAssetWeightsAdverse,ROW()-ROW(AA$135),1):INDEX(ReportAssetWeightsAdverse,ROW()-ROW(AA$135),NumberOfAssets),INT(INDEX(tblAssetMenuSpecs[Is Government Bond Emerging Markets],1):(INDEX(tblAssetMenuSpecs[Is Government Bond Emerging Markets],NumberOfAssets))))</f>
        <v>0</v>
      </c>
      <c r="AB167" s="280">
        <f>MMULT(INDEX(ReportAssetWeightsAdverse,ROW()-ROW(AB$135),1):INDEX(ReportAssetWeightsAdverse,ROW()-ROW(AB$135),NumberOfAssets),INT(INDEX(tblAssetMenuSpecs[Is Corporate Bond],1):(INDEX(tblAssetMenuSpecs[Is Corporate Bond],NumberOfAssets))))</f>
        <v>0</v>
      </c>
      <c r="AC167" s="280">
        <f>MMULT(INDEX(ReportAssetWeightsAdverse,ROW()-ROW(AC$135),1):INDEX(ReportAssetWeightsAdverse,ROW()-ROW(AC$135),NumberOfAssets),INT(INDEX(tblAssetMenuSpecs[Is Corporate Bond Non-Financial],1):(INDEX(tblAssetMenuSpecs[Is Corporate Bond Non-Financial],NumberOfAssets))))</f>
        <v>0</v>
      </c>
      <c r="AD167" s="280">
        <f>MMULT(INDEX(ReportAssetWeightsAdverse,ROW()-ROW(AD$135),1):INDEX(ReportAssetWeightsAdverse,ROW()-ROW(AD$135),NumberOfAssets),INT(INDEX(tblAssetMenuSpecs[Is Corporate Bond Financial],1):(INDEX(tblAssetMenuSpecs[Is Corporate Bond Financial],NumberOfAssets))))</f>
        <v>0</v>
      </c>
      <c r="AE167" s="280">
        <f>MMULT(INDEX(ReportAssetWeightsAdverse,ROW()-ROW(AE$135),1):INDEX(ReportAssetWeightsAdverse,ROW()-ROW(AE$135),NumberOfAssets),INT(INDEX(tblAssetMenuSpecs[Is Cash and Deposits],1):(INDEX(tblAssetMenuSpecs[Is Cash and Deposits],NumberOfAssets))))</f>
        <v>1</v>
      </c>
    </row>
    <row r="168" spans="6:31" x14ac:dyDescent="0.25">
      <c r="F168" s="278">
        <f t="shared" si="1"/>
        <v>3</v>
      </c>
      <c r="G168" s="279">
        <f>MMULT(INDEX(ReportAssetWeightsAdverse,ROW()-ROW(G$135),1):INDEX(ReportAssetWeightsAdverse,ROW()-ROW(G$135),NumberOfAssets),INT(INDEX(tblAssetMenuSpecs[IsEquities],1):(INDEX(tblAssetMenuSpecs[IsEquities],NumberOfAssets))))</f>
        <v>0</v>
      </c>
      <c r="H168" s="279">
        <f>MMULT(INDEX(ReportAssetWeightsAdverse,ROW()-ROW(H$135),1):INDEX(ReportAssetWeightsAdverse,ROW()-ROW(H$135),NumberOfAssets),INT(INDEX(tblAssetMenuSpecs[IsRealEstate],1):(INDEX(tblAssetMenuSpecs[IsRealEstate],NumberOfAssets))))</f>
        <v>0</v>
      </c>
      <c r="I168" s="279">
        <f>MMULT(INDEX(ReportAssetWeightsAdverse,ROW()-ROW(I$135),1):INDEX(ReportAssetWeightsAdverse,ROW()-ROW(I$135),NumberOfAssets),INT(INDEX(tblAssetMenuSpecs[IsAlternatives],1):(INDEX(tblAssetMenuSpecs[IsAlternatives],NumberOfAssets))))</f>
        <v>0</v>
      </c>
      <c r="J168" s="279">
        <f>MMULT(INDEX(ReportAssetWeightsAdverse,ROW()-ROW(J$135),1):INDEX(ReportAssetWeightsAdverse,ROW()-ROW(J$135),NumberOfAssets),INT(INDEX(tblAssetMenuSpecs[IsFixedIncome],1):(INDEX(tblAssetMenuSpecs[IsFixedIncome],NumberOfAssets))))</f>
        <v>1</v>
      </c>
      <c r="L168" s="280">
        <f>MMULT(INDEX(ReportAssetWeightsAdverse,ROW()-ROW(L$135),1):INDEX(ReportAssetWeightsAdverse,ROW()-ROW(L$135),NumberOfAssets),INT(INDEX(tblAssetMenuSpecs[Is Equities EU],1):(INDEX(tblAssetMenuSpecs[Is Equities EU],NumberOfAssets))))</f>
        <v>0</v>
      </c>
      <c r="M168" s="280">
        <f>MMULT(INDEX(ReportAssetWeightsAdverse,ROW()-ROW(M$135),1):INDEX(ReportAssetWeightsAdverse,ROW()-ROW(M$135),NumberOfAssets),INT(INDEX(tblAssetMenuSpecs[Is Equities US],1):(INDEX(tblAssetMenuSpecs[Is Equities US],NumberOfAssets))))</f>
        <v>0</v>
      </c>
      <c r="N168" s="280">
        <f>MMULT(INDEX(ReportAssetWeightsAdverse,ROW()-ROW(N$135),1):INDEX(ReportAssetWeightsAdverse,ROW()-ROW(N$135),NumberOfAssets),INT(INDEX(tblAssetMenuSpecs[Is Equities Other Developed Markets],1):(INDEX(tblAssetMenuSpecs[Is Equities Other Developed Markets],NumberOfAssets))))</f>
        <v>0</v>
      </c>
      <c r="O168" s="280">
        <f>MMULT(INDEX(ReportAssetWeightsAdverse,ROW()-ROW(O$135),1):INDEX(ReportAssetWeightsAdverse,ROW()-ROW(O$135),NumberOfAssets),INT(INDEX(tblAssetMenuSpecs[Is Equities Emerging Markets],1):(INDEX(tblAssetMenuSpecs[Is Equities Emerging Markets],NumberOfAssets))))</f>
        <v>0</v>
      </c>
      <c r="P168" s="280">
        <f>MMULT(INDEX(ReportAssetWeightsAdverse,ROW()-ROW(P$135),1):INDEX(ReportAssetWeightsAdverse,ROW()-ROW(P$135),NumberOfAssets),INT(INDEX(tblAssetMenuSpecs[Is Commodities],1):(INDEX(tblAssetMenuSpecs[Is Commodities],NumberOfAssets))))</f>
        <v>0</v>
      </c>
      <c r="Q168" s="280">
        <f>MMULT(INDEX(ReportAssetWeightsAdverse,ROW()-ROW(Q$135),1):INDEX(ReportAssetWeightsAdverse,ROW()-ROW(Q$135),NumberOfAssets),INT(INDEX(tblAssetMenuSpecs[Is Private Equity],1):(INDEX(tblAssetMenuSpecs[Is Private Equity],NumberOfAssets))))</f>
        <v>0</v>
      </c>
      <c r="R168" s="280">
        <f>MMULT(INDEX(ReportAssetWeightsAdverse,ROW()-ROW(R$135),1):INDEX(ReportAssetWeightsAdverse,ROW()-ROW(R$135),NumberOfAssets),INT(INDEX(tblAssetMenuSpecs[Is Hedge Funds],1):(INDEX(tblAssetMenuSpecs[Is Hedge Funds],NumberOfAssets))))</f>
        <v>0</v>
      </c>
      <c r="S168" s="280">
        <f>MMULT(INDEX(ReportAssetWeightsAdverse,ROW()-ROW(S$135),1):INDEX(ReportAssetWeightsAdverse,ROW()-ROW(S$135),NumberOfAssets),INT(INDEX(tblAssetMenuSpecs[Is Real Estate EU],1):(INDEX(tblAssetMenuSpecs[Is Real Estate EU],NumberOfAssets))))</f>
        <v>0</v>
      </c>
      <c r="T168" s="280">
        <f>MMULT(INDEX(ReportAssetWeightsAdverse,ROW()-ROW(T$135),1):INDEX(ReportAssetWeightsAdverse,ROW()-ROW(T$135),NumberOfAssets),INT(INDEX(tblAssetMenuSpecs[Is Real Estate US],1):(INDEX(tblAssetMenuSpecs[Is Real Estate US],NumberOfAssets))))</f>
        <v>0</v>
      </c>
      <c r="U168" s="280">
        <f>MMULT(INDEX(ReportAssetWeightsAdverse,ROW()-ROW(U$135),1):INDEX(ReportAssetWeightsAdverse,ROW()-ROW(U$135),NumberOfAssets),INT(INDEX(tblAssetMenuSpecs[Is Real Estate Other Developed Markets],1):(INDEX(tblAssetMenuSpecs[Is Real Estate Other Developed Markets],NumberOfAssets))))</f>
        <v>0</v>
      </c>
      <c r="V168" s="280">
        <f>MMULT(INDEX(ReportAssetWeightsAdverse,ROW()-ROW(V$135),1):INDEX(ReportAssetWeightsAdverse,ROW()-ROW(V$135),NumberOfAssets),INT(INDEX(tblAssetMenuSpecs[Is Real Estate Commercial EU (non-leveraged)],1):(INDEX(tblAssetMenuSpecs[Is Real Estate Commercial EU (non-leveraged)],NumberOfAssets))))</f>
        <v>0</v>
      </c>
      <c r="W168" s="280">
        <f>MMULT(INDEX(ReportAssetWeightsAdverse,ROW()-ROW(W$135),1):INDEX(ReportAssetWeightsAdverse,ROW()-ROW(W$135),NumberOfAssets),INT(INDEX(tblAssetMenuSpecs[Is Real Estate Residential EU (non-leveraged)],1):(INDEX(tblAssetMenuSpecs[Is Real Estate Residential EU (non-leveraged)],NumberOfAssets))))</f>
        <v>0</v>
      </c>
      <c r="X168" s="280">
        <f>MMULT(INDEX(ReportAssetWeightsAdverse,ROW()-ROW(X$135),1):INDEX(ReportAssetWeightsAdverse,ROW()-ROW(X$135),NumberOfAssets),INT(INDEX(tblAssetMenuSpecs[Is Government Bond EU],1):(INDEX(tblAssetMenuSpecs[Is Government Bond EU],NumberOfAssets))))</f>
        <v>0</v>
      </c>
      <c r="Y168" s="280">
        <f>MMULT(INDEX(ReportAssetWeightsAdverse,ROW()-ROW(Y$135),1):INDEX(ReportAssetWeightsAdverse,ROW()-ROW(Y$135),NumberOfAssets),INT(INDEX(tblAssetMenuSpecs[Is Government Bond US],1):(INDEX(tblAssetMenuSpecs[Is Government Bond US],NumberOfAssets))))</f>
        <v>0</v>
      </c>
      <c r="Z168" s="280">
        <f>MMULT(INDEX(ReportAssetWeightsAdverse,ROW()-ROW(Z$135),1):INDEX(ReportAssetWeightsAdverse,ROW()-ROW(Z$135),NumberOfAssets),INT(INDEX(tblAssetMenuSpecs[Is Government Bond Other Developed Markets],1):(INDEX(tblAssetMenuSpecs[Is Government Bond Other Developed Markets],NumberOfAssets))))</f>
        <v>0</v>
      </c>
      <c r="AA168" s="280">
        <f>MMULT(INDEX(ReportAssetWeightsAdverse,ROW()-ROW(AA$135),1):INDEX(ReportAssetWeightsAdverse,ROW()-ROW(AA$135),NumberOfAssets),INT(INDEX(tblAssetMenuSpecs[Is Government Bond Emerging Markets],1):(INDEX(tblAssetMenuSpecs[Is Government Bond Emerging Markets],NumberOfAssets))))</f>
        <v>0</v>
      </c>
      <c r="AB168" s="280">
        <f>MMULT(INDEX(ReportAssetWeightsAdverse,ROW()-ROW(AB$135),1):INDEX(ReportAssetWeightsAdverse,ROW()-ROW(AB$135),NumberOfAssets),INT(INDEX(tblAssetMenuSpecs[Is Corporate Bond],1):(INDEX(tblAssetMenuSpecs[Is Corporate Bond],NumberOfAssets))))</f>
        <v>0</v>
      </c>
      <c r="AC168" s="280">
        <f>MMULT(INDEX(ReportAssetWeightsAdverse,ROW()-ROW(AC$135),1):INDEX(ReportAssetWeightsAdverse,ROW()-ROW(AC$135),NumberOfAssets),INT(INDEX(tblAssetMenuSpecs[Is Corporate Bond Non-Financial],1):(INDEX(tblAssetMenuSpecs[Is Corporate Bond Non-Financial],NumberOfAssets))))</f>
        <v>0</v>
      </c>
      <c r="AD168" s="280">
        <f>MMULT(INDEX(ReportAssetWeightsAdverse,ROW()-ROW(AD$135),1):INDEX(ReportAssetWeightsAdverse,ROW()-ROW(AD$135),NumberOfAssets),INT(INDEX(tblAssetMenuSpecs[Is Corporate Bond Financial],1):(INDEX(tblAssetMenuSpecs[Is Corporate Bond Financial],NumberOfAssets))))</f>
        <v>0</v>
      </c>
      <c r="AE168" s="280">
        <f>MMULT(INDEX(ReportAssetWeightsAdverse,ROW()-ROW(AE$135),1):INDEX(ReportAssetWeightsAdverse,ROW()-ROW(AE$135),NumberOfAssets),INT(INDEX(tblAssetMenuSpecs[Is Cash and Deposits],1):(INDEX(tblAssetMenuSpecs[Is Cash and Deposits],NumberOfAssets))))</f>
        <v>1</v>
      </c>
    </row>
    <row r="169" spans="6:31" x14ac:dyDescent="0.25">
      <c r="F169" s="278">
        <f t="shared" si="1"/>
        <v>2</v>
      </c>
      <c r="G169" s="279">
        <f>MMULT(INDEX(ReportAssetWeightsAdverse,ROW()-ROW(G$135),1):INDEX(ReportAssetWeightsAdverse,ROW()-ROW(G$135),NumberOfAssets),INT(INDEX(tblAssetMenuSpecs[IsEquities],1):(INDEX(tblAssetMenuSpecs[IsEquities],NumberOfAssets))))</f>
        <v>0</v>
      </c>
      <c r="H169" s="279">
        <f>MMULT(INDEX(ReportAssetWeightsAdverse,ROW()-ROW(H$135),1):INDEX(ReportAssetWeightsAdverse,ROW()-ROW(H$135),NumberOfAssets),INT(INDEX(tblAssetMenuSpecs[IsRealEstate],1):(INDEX(tblAssetMenuSpecs[IsRealEstate],NumberOfAssets))))</f>
        <v>0</v>
      </c>
      <c r="I169" s="279">
        <f>MMULT(INDEX(ReportAssetWeightsAdverse,ROW()-ROW(I$135),1):INDEX(ReportAssetWeightsAdverse,ROW()-ROW(I$135),NumberOfAssets),INT(INDEX(tblAssetMenuSpecs[IsAlternatives],1):(INDEX(tblAssetMenuSpecs[IsAlternatives],NumberOfAssets))))</f>
        <v>0</v>
      </c>
      <c r="J169" s="279">
        <f>MMULT(INDEX(ReportAssetWeightsAdverse,ROW()-ROW(J$135),1):INDEX(ReportAssetWeightsAdverse,ROW()-ROW(J$135),NumberOfAssets),INT(INDEX(tblAssetMenuSpecs[IsFixedIncome],1):(INDEX(tblAssetMenuSpecs[IsFixedIncome],NumberOfAssets))))</f>
        <v>1</v>
      </c>
      <c r="L169" s="280">
        <f>MMULT(INDEX(ReportAssetWeightsAdverse,ROW()-ROW(L$135),1):INDEX(ReportAssetWeightsAdverse,ROW()-ROW(L$135),NumberOfAssets),INT(INDEX(tblAssetMenuSpecs[Is Equities EU],1):(INDEX(tblAssetMenuSpecs[Is Equities EU],NumberOfAssets))))</f>
        <v>0</v>
      </c>
      <c r="M169" s="280">
        <f>MMULT(INDEX(ReportAssetWeightsAdverse,ROW()-ROW(M$135),1):INDEX(ReportAssetWeightsAdverse,ROW()-ROW(M$135),NumberOfAssets),INT(INDEX(tblAssetMenuSpecs[Is Equities US],1):(INDEX(tblAssetMenuSpecs[Is Equities US],NumberOfAssets))))</f>
        <v>0</v>
      </c>
      <c r="N169" s="280">
        <f>MMULT(INDEX(ReportAssetWeightsAdverse,ROW()-ROW(N$135),1):INDEX(ReportAssetWeightsAdverse,ROW()-ROW(N$135),NumberOfAssets),INT(INDEX(tblAssetMenuSpecs[Is Equities Other Developed Markets],1):(INDEX(tblAssetMenuSpecs[Is Equities Other Developed Markets],NumberOfAssets))))</f>
        <v>0</v>
      </c>
      <c r="O169" s="280">
        <f>MMULT(INDEX(ReportAssetWeightsAdverse,ROW()-ROW(O$135),1):INDEX(ReportAssetWeightsAdverse,ROW()-ROW(O$135),NumberOfAssets),INT(INDEX(tblAssetMenuSpecs[Is Equities Emerging Markets],1):(INDEX(tblAssetMenuSpecs[Is Equities Emerging Markets],NumberOfAssets))))</f>
        <v>0</v>
      </c>
      <c r="P169" s="280">
        <f>MMULT(INDEX(ReportAssetWeightsAdverse,ROW()-ROW(P$135),1):INDEX(ReportAssetWeightsAdverse,ROW()-ROW(P$135),NumberOfAssets),INT(INDEX(tblAssetMenuSpecs[Is Commodities],1):(INDEX(tblAssetMenuSpecs[Is Commodities],NumberOfAssets))))</f>
        <v>0</v>
      </c>
      <c r="Q169" s="280">
        <f>MMULT(INDEX(ReportAssetWeightsAdverse,ROW()-ROW(Q$135),1):INDEX(ReportAssetWeightsAdverse,ROW()-ROW(Q$135),NumberOfAssets),INT(INDEX(tblAssetMenuSpecs[Is Private Equity],1):(INDEX(tblAssetMenuSpecs[Is Private Equity],NumberOfAssets))))</f>
        <v>0</v>
      </c>
      <c r="R169" s="280">
        <f>MMULT(INDEX(ReportAssetWeightsAdverse,ROW()-ROW(R$135),1):INDEX(ReportAssetWeightsAdverse,ROW()-ROW(R$135),NumberOfAssets),INT(INDEX(tblAssetMenuSpecs[Is Hedge Funds],1):(INDEX(tblAssetMenuSpecs[Is Hedge Funds],NumberOfAssets))))</f>
        <v>0</v>
      </c>
      <c r="S169" s="280">
        <f>MMULT(INDEX(ReportAssetWeightsAdverse,ROW()-ROW(S$135),1):INDEX(ReportAssetWeightsAdverse,ROW()-ROW(S$135),NumberOfAssets),INT(INDEX(tblAssetMenuSpecs[Is Real Estate EU],1):(INDEX(tblAssetMenuSpecs[Is Real Estate EU],NumberOfAssets))))</f>
        <v>0</v>
      </c>
      <c r="T169" s="280">
        <f>MMULT(INDEX(ReportAssetWeightsAdverse,ROW()-ROW(T$135),1):INDEX(ReportAssetWeightsAdverse,ROW()-ROW(T$135),NumberOfAssets),INT(INDEX(tblAssetMenuSpecs[Is Real Estate US],1):(INDEX(tblAssetMenuSpecs[Is Real Estate US],NumberOfAssets))))</f>
        <v>0</v>
      </c>
      <c r="U169" s="280">
        <f>MMULT(INDEX(ReportAssetWeightsAdverse,ROW()-ROW(U$135),1):INDEX(ReportAssetWeightsAdverse,ROW()-ROW(U$135),NumberOfAssets),INT(INDEX(tblAssetMenuSpecs[Is Real Estate Other Developed Markets],1):(INDEX(tblAssetMenuSpecs[Is Real Estate Other Developed Markets],NumberOfAssets))))</f>
        <v>0</v>
      </c>
      <c r="V169" s="280">
        <f>MMULT(INDEX(ReportAssetWeightsAdverse,ROW()-ROW(V$135),1):INDEX(ReportAssetWeightsAdverse,ROW()-ROW(V$135),NumberOfAssets),INT(INDEX(tblAssetMenuSpecs[Is Real Estate Commercial EU (non-leveraged)],1):(INDEX(tblAssetMenuSpecs[Is Real Estate Commercial EU (non-leveraged)],NumberOfAssets))))</f>
        <v>0</v>
      </c>
      <c r="W169" s="280">
        <f>MMULT(INDEX(ReportAssetWeightsAdverse,ROW()-ROW(W$135),1):INDEX(ReportAssetWeightsAdverse,ROW()-ROW(W$135),NumberOfAssets),INT(INDEX(tblAssetMenuSpecs[Is Real Estate Residential EU (non-leveraged)],1):(INDEX(tblAssetMenuSpecs[Is Real Estate Residential EU (non-leveraged)],NumberOfAssets))))</f>
        <v>0</v>
      </c>
      <c r="X169" s="280">
        <f>MMULT(INDEX(ReportAssetWeightsAdverse,ROW()-ROW(X$135),1):INDEX(ReportAssetWeightsAdverse,ROW()-ROW(X$135),NumberOfAssets),INT(INDEX(tblAssetMenuSpecs[Is Government Bond EU],1):(INDEX(tblAssetMenuSpecs[Is Government Bond EU],NumberOfAssets))))</f>
        <v>0</v>
      </c>
      <c r="Y169" s="280">
        <f>MMULT(INDEX(ReportAssetWeightsAdverse,ROW()-ROW(Y$135),1):INDEX(ReportAssetWeightsAdverse,ROW()-ROW(Y$135),NumberOfAssets),INT(INDEX(tblAssetMenuSpecs[Is Government Bond US],1):(INDEX(tblAssetMenuSpecs[Is Government Bond US],NumberOfAssets))))</f>
        <v>0</v>
      </c>
      <c r="Z169" s="280">
        <f>MMULT(INDEX(ReportAssetWeightsAdverse,ROW()-ROW(Z$135),1):INDEX(ReportAssetWeightsAdverse,ROW()-ROW(Z$135),NumberOfAssets),INT(INDEX(tblAssetMenuSpecs[Is Government Bond Other Developed Markets],1):(INDEX(tblAssetMenuSpecs[Is Government Bond Other Developed Markets],NumberOfAssets))))</f>
        <v>0</v>
      </c>
      <c r="AA169" s="280">
        <f>MMULT(INDEX(ReportAssetWeightsAdverse,ROW()-ROW(AA$135),1):INDEX(ReportAssetWeightsAdverse,ROW()-ROW(AA$135),NumberOfAssets),INT(INDEX(tblAssetMenuSpecs[Is Government Bond Emerging Markets],1):(INDEX(tblAssetMenuSpecs[Is Government Bond Emerging Markets],NumberOfAssets))))</f>
        <v>0</v>
      </c>
      <c r="AB169" s="280">
        <f>MMULT(INDEX(ReportAssetWeightsAdverse,ROW()-ROW(AB$135),1):INDEX(ReportAssetWeightsAdverse,ROW()-ROW(AB$135),NumberOfAssets),INT(INDEX(tblAssetMenuSpecs[Is Corporate Bond],1):(INDEX(tblAssetMenuSpecs[Is Corporate Bond],NumberOfAssets))))</f>
        <v>0</v>
      </c>
      <c r="AC169" s="280">
        <f>MMULT(INDEX(ReportAssetWeightsAdverse,ROW()-ROW(AC$135),1):INDEX(ReportAssetWeightsAdverse,ROW()-ROW(AC$135),NumberOfAssets),INT(INDEX(tblAssetMenuSpecs[Is Corporate Bond Non-Financial],1):(INDEX(tblAssetMenuSpecs[Is Corporate Bond Non-Financial],NumberOfAssets))))</f>
        <v>0</v>
      </c>
      <c r="AD169" s="280">
        <f>MMULT(INDEX(ReportAssetWeightsAdverse,ROW()-ROW(AD$135),1):INDEX(ReportAssetWeightsAdverse,ROW()-ROW(AD$135),NumberOfAssets),INT(INDEX(tblAssetMenuSpecs[Is Corporate Bond Financial],1):(INDEX(tblAssetMenuSpecs[Is Corporate Bond Financial],NumberOfAssets))))</f>
        <v>0</v>
      </c>
      <c r="AE169" s="280">
        <f>MMULT(INDEX(ReportAssetWeightsAdverse,ROW()-ROW(AE$135),1):INDEX(ReportAssetWeightsAdverse,ROW()-ROW(AE$135),NumberOfAssets),INT(INDEX(tblAssetMenuSpecs[Is Cash and Deposits],1):(INDEX(tblAssetMenuSpecs[Is Cash and Deposits],NumberOfAssets))))</f>
        <v>1</v>
      </c>
    </row>
    <row r="170" spans="6:31" x14ac:dyDescent="0.25">
      <c r="F170" s="278">
        <f t="shared" si="1"/>
        <v>1</v>
      </c>
      <c r="G170" s="279">
        <f>MMULT(INDEX(ReportAssetWeightsAdverse,ROW()-ROW(G$135),1):INDEX(ReportAssetWeightsAdverse,ROW()-ROW(G$135),NumberOfAssets),INT(INDEX(tblAssetMenuSpecs[IsEquities],1):(INDEX(tblAssetMenuSpecs[IsEquities],NumberOfAssets))))</f>
        <v>0</v>
      </c>
      <c r="H170" s="279">
        <f>MMULT(INDEX(ReportAssetWeightsAdverse,ROW()-ROW(H$135),1):INDEX(ReportAssetWeightsAdverse,ROW()-ROW(H$135),NumberOfAssets),INT(INDEX(tblAssetMenuSpecs[IsRealEstate],1):(INDEX(tblAssetMenuSpecs[IsRealEstate],NumberOfAssets))))</f>
        <v>0</v>
      </c>
      <c r="I170" s="279">
        <f>MMULT(INDEX(ReportAssetWeightsAdverse,ROW()-ROW(I$135),1):INDEX(ReportAssetWeightsAdverse,ROW()-ROW(I$135),NumberOfAssets),INT(INDEX(tblAssetMenuSpecs[IsAlternatives],1):(INDEX(tblAssetMenuSpecs[IsAlternatives],NumberOfAssets))))</f>
        <v>0</v>
      </c>
      <c r="J170" s="279">
        <f>MMULT(INDEX(ReportAssetWeightsAdverse,ROW()-ROW(J$135),1):INDEX(ReportAssetWeightsAdverse,ROW()-ROW(J$135),NumberOfAssets),INT(INDEX(tblAssetMenuSpecs[IsFixedIncome],1):(INDEX(tblAssetMenuSpecs[IsFixedIncome],NumberOfAssets))))</f>
        <v>1</v>
      </c>
      <c r="L170" s="280">
        <f>MMULT(INDEX(ReportAssetWeightsAdverse,ROW()-ROW(L$135),1):INDEX(ReportAssetWeightsAdverse,ROW()-ROW(L$135),NumberOfAssets),INT(INDEX(tblAssetMenuSpecs[Is Equities EU],1):(INDEX(tblAssetMenuSpecs[Is Equities EU],NumberOfAssets))))</f>
        <v>0</v>
      </c>
      <c r="M170" s="280">
        <f>MMULT(INDEX(ReportAssetWeightsAdverse,ROW()-ROW(M$135),1):INDEX(ReportAssetWeightsAdverse,ROW()-ROW(M$135),NumberOfAssets),INT(INDEX(tblAssetMenuSpecs[Is Equities US],1):(INDEX(tblAssetMenuSpecs[Is Equities US],NumberOfAssets))))</f>
        <v>0</v>
      </c>
      <c r="N170" s="280">
        <f>MMULT(INDEX(ReportAssetWeightsAdverse,ROW()-ROW(N$135),1):INDEX(ReportAssetWeightsAdverse,ROW()-ROW(N$135),NumberOfAssets),INT(INDEX(tblAssetMenuSpecs[Is Equities Other Developed Markets],1):(INDEX(tblAssetMenuSpecs[Is Equities Other Developed Markets],NumberOfAssets))))</f>
        <v>0</v>
      </c>
      <c r="O170" s="280">
        <f>MMULT(INDEX(ReportAssetWeightsAdverse,ROW()-ROW(O$135),1):INDEX(ReportAssetWeightsAdverse,ROW()-ROW(O$135),NumberOfAssets),INT(INDEX(tblAssetMenuSpecs[Is Equities Emerging Markets],1):(INDEX(tblAssetMenuSpecs[Is Equities Emerging Markets],NumberOfAssets))))</f>
        <v>0</v>
      </c>
      <c r="P170" s="280">
        <f>MMULT(INDEX(ReportAssetWeightsAdverse,ROW()-ROW(P$135),1):INDEX(ReportAssetWeightsAdverse,ROW()-ROW(P$135),NumberOfAssets),INT(INDEX(tblAssetMenuSpecs[Is Commodities],1):(INDEX(tblAssetMenuSpecs[Is Commodities],NumberOfAssets))))</f>
        <v>0</v>
      </c>
      <c r="Q170" s="280">
        <f>MMULT(INDEX(ReportAssetWeightsAdverse,ROW()-ROW(Q$135),1):INDEX(ReportAssetWeightsAdverse,ROW()-ROW(Q$135),NumberOfAssets),INT(INDEX(tblAssetMenuSpecs[Is Private Equity],1):(INDEX(tblAssetMenuSpecs[Is Private Equity],NumberOfAssets))))</f>
        <v>0</v>
      </c>
      <c r="R170" s="280">
        <f>MMULT(INDEX(ReportAssetWeightsAdverse,ROW()-ROW(R$135),1):INDEX(ReportAssetWeightsAdverse,ROW()-ROW(R$135),NumberOfAssets),INT(INDEX(tblAssetMenuSpecs[Is Hedge Funds],1):(INDEX(tblAssetMenuSpecs[Is Hedge Funds],NumberOfAssets))))</f>
        <v>0</v>
      </c>
      <c r="S170" s="280">
        <f>MMULT(INDEX(ReportAssetWeightsAdverse,ROW()-ROW(S$135),1):INDEX(ReportAssetWeightsAdverse,ROW()-ROW(S$135),NumberOfAssets),INT(INDEX(tblAssetMenuSpecs[Is Real Estate EU],1):(INDEX(tblAssetMenuSpecs[Is Real Estate EU],NumberOfAssets))))</f>
        <v>0</v>
      </c>
      <c r="T170" s="280">
        <f>MMULT(INDEX(ReportAssetWeightsAdverse,ROW()-ROW(T$135),1):INDEX(ReportAssetWeightsAdverse,ROW()-ROW(T$135),NumberOfAssets),INT(INDEX(tblAssetMenuSpecs[Is Real Estate US],1):(INDEX(tblAssetMenuSpecs[Is Real Estate US],NumberOfAssets))))</f>
        <v>0</v>
      </c>
      <c r="U170" s="280">
        <f>MMULT(INDEX(ReportAssetWeightsAdverse,ROW()-ROW(U$135),1):INDEX(ReportAssetWeightsAdverse,ROW()-ROW(U$135),NumberOfAssets),INT(INDEX(tblAssetMenuSpecs[Is Real Estate Other Developed Markets],1):(INDEX(tblAssetMenuSpecs[Is Real Estate Other Developed Markets],NumberOfAssets))))</f>
        <v>0</v>
      </c>
      <c r="V170" s="280">
        <f>MMULT(INDEX(ReportAssetWeightsAdverse,ROW()-ROW(V$135),1):INDEX(ReportAssetWeightsAdverse,ROW()-ROW(V$135),NumberOfAssets),INT(INDEX(tblAssetMenuSpecs[Is Real Estate Commercial EU (non-leveraged)],1):(INDEX(tblAssetMenuSpecs[Is Real Estate Commercial EU (non-leveraged)],NumberOfAssets))))</f>
        <v>0</v>
      </c>
      <c r="W170" s="280">
        <f>MMULT(INDEX(ReportAssetWeightsAdverse,ROW()-ROW(W$135),1):INDEX(ReportAssetWeightsAdverse,ROW()-ROW(W$135),NumberOfAssets),INT(INDEX(tblAssetMenuSpecs[Is Real Estate Residential EU (non-leveraged)],1):(INDEX(tblAssetMenuSpecs[Is Real Estate Residential EU (non-leveraged)],NumberOfAssets))))</f>
        <v>0</v>
      </c>
      <c r="X170" s="280">
        <f>MMULT(INDEX(ReportAssetWeightsAdverse,ROW()-ROW(X$135),1):INDEX(ReportAssetWeightsAdverse,ROW()-ROW(X$135),NumberOfAssets),INT(INDEX(tblAssetMenuSpecs[Is Government Bond EU],1):(INDEX(tblAssetMenuSpecs[Is Government Bond EU],NumberOfAssets))))</f>
        <v>0</v>
      </c>
      <c r="Y170" s="280">
        <f>MMULT(INDEX(ReportAssetWeightsAdverse,ROW()-ROW(Y$135),1):INDEX(ReportAssetWeightsAdverse,ROW()-ROW(Y$135),NumberOfAssets),INT(INDEX(tblAssetMenuSpecs[Is Government Bond US],1):(INDEX(tblAssetMenuSpecs[Is Government Bond US],NumberOfAssets))))</f>
        <v>0</v>
      </c>
      <c r="Z170" s="280">
        <f>MMULT(INDEX(ReportAssetWeightsAdverse,ROW()-ROW(Z$135),1):INDEX(ReportAssetWeightsAdverse,ROW()-ROW(Z$135),NumberOfAssets),INT(INDEX(tblAssetMenuSpecs[Is Government Bond Other Developed Markets],1):(INDEX(tblAssetMenuSpecs[Is Government Bond Other Developed Markets],NumberOfAssets))))</f>
        <v>0</v>
      </c>
      <c r="AA170" s="280">
        <f>MMULT(INDEX(ReportAssetWeightsAdverse,ROW()-ROW(AA$135),1):INDEX(ReportAssetWeightsAdverse,ROW()-ROW(AA$135),NumberOfAssets),INT(INDEX(tblAssetMenuSpecs[Is Government Bond Emerging Markets],1):(INDEX(tblAssetMenuSpecs[Is Government Bond Emerging Markets],NumberOfAssets))))</f>
        <v>0</v>
      </c>
      <c r="AB170" s="280">
        <f>MMULT(INDEX(ReportAssetWeightsAdverse,ROW()-ROW(AB$135),1):INDEX(ReportAssetWeightsAdverse,ROW()-ROW(AB$135),NumberOfAssets),INT(INDEX(tblAssetMenuSpecs[Is Corporate Bond],1):(INDEX(tblAssetMenuSpecs[Is Corporate Bond],NumberOfAssets))))</f>
        <v>0</v>
      </c>
      <c r="AC170" s="280">
        <f>MMULT(INDEX(ReportAssetWeightsAdverse,ROW()-ROW(AC$135),1):INDEX(ReportAssetWeightsAdverse,ROW()-ROW(AC$135),NumberOfAssets),INT(INDEX(tblAssetMenuSpecs[Is Corporate Bond Non-Financial],1):(INDEX(tblAssetMenuSpecs[Is Corporate Bond Non-Financial],NumberOfAssets))))</f>
        <v>0</v>
      </c>
      <c r="AD170" s="280">
        <f>MMULT(INDEX(ReportAssetWeightsAdverse,ROW()-ROW(AD$135),1):INDEX(ReportAssetWeightsAdverse,ROW()-ROW(AD$135),NumberOfAssets),INT(INDEX(tblAssetMenuSpecs[Is Corporate Bond Financial],1):(INDEX(tblAssetMenuSpecs[Is Corporate Bond Financial],NumberOfAssets))))</f>
        <v>0</v>
      </c>
      <c r="AE170" s="280">
        <f>MMULT(INDEX(ReportAssetWeightsAdverse,ROW()-ROW(AE$135),1):INDEX(ReportAssetWeightsAdverse,ROW()-ROW(AE$135),NumberOfAssets),INT(INDEX(tblAssetMenuSpecs[Is Cash and Deposits],1):(INDEX(tblAssetMenuSpecs[Is Cash and Deposits],NumberOfAssets))))</f>
        <v>1</v>
      </c>
    </row>
    <row r="171" spans="6:31" x14ac:dyDescent="0.25">
      <c r="F171" s="278">
        <f t="shared" si="1"/>
        <v>0</v>
      </c>
      <c r="G171" s="279">
        <f>MMULT(INDEX(ReportAssetWeightsAdverse,ROW()-ROW(G$135),1):INDEX(ReportAssetWeightsAdverse,ROW()-ROW(G$135),NumberOfAssets),INT(INDEX(tblAssetMenuSpecs[IsEquities],1):(INDEX(tblAssetMenuSpecs[IsEquities],NumberOfAssets))))</f>
        <v>0</v>
      </c>
      <c r="H171" s="279">
        <f>MMULT(INDEX(ReportAssetWeightsAdverse,ROW()-ROW(H$135),1):INDEX(ReportAssetWeightsAdverse,ROW()-ROW(H$135),NumberOfAssets),INT(INDEX(tblAssetMenuSpecs[IsRealEstate],1):(INDEX(tblAssetMenuSpecs[IsRealEstate],NumberOfAssets))))</f>
        <v>0</v>
      </c>
      <c r="I171" s="279">
        <f>MMULT(INDEX(ReportAssetWeightsAdverse,ROW()-ROW(I$135),1):INDEX(ReportAssetWeightsAdverse,ROW()-ROW(I$135),NumberOfAssets),INT(INDEX(tblAssetMenuSpecs[IsAlternatives],1):(INDEX(tblAssetMenuSpecs[IsAlternatives],NumberOfAssets))))</f>
        <v>0</v>
      </c>
      <c r="J171" s="279">
        <f>MMULT(INDEX(ReportAssetWeightsAdverse,ROW()-ROW(J$135),1):INDEX(ReportAssetWeightsAdverse,ROW()-ROW(J$135),NumberOfAssets),INT(INDEX(tblAssetMenuSpecs[IsFixedIncome],1):(INDEX(tblAssetMenuSpecs[IsFixedIncome],NumberOfAssets))))</f>
        <v>1</v>
      </c>
      <c r="L171" s="280">
        <f>MMULT(INDEX(ReportAssetWeightsAdverse,ROW()-ROW(L$135),1):INDEX(ReportAssetWeightsAdverse,ROW()-ROW(L$135),NumberOfAssets),INT(INDEX(tblAssetMenuSpecs[Is Equities EU],1):(INDEX(tblAssetMenuSpecs[Is Equities EU],NumberOfAssets))))</f>
        <v>0</v>
      </c>
      <c r="M171" s="280">
        <f>MMULT(INDEX(ReportAssetWeightsAdverse,ROW()-ROW(M$135),1):INDEX(ReportAssetWeightsAdverse,ROW()-ROW(M$135),NumberOfAssets),INT(INDEX(tblAssetMenuSpecs[Is Equities US],1):(INDEX(tblAssetMenuSpecs[Is Equities US],NumberOfAssets))))</f>
        <v>0</v>
      </c>
      <c r="N171" s="280">
        <f>MMULT(INDEX(ReportAssetWeightsAdverse,ROW()-ROW(N$135),1):INDEX(ReportAssetWeightsAdverse,ROW()-ROW(N$135),NumberOfAssets),INT(INDEX(tblAssetMenuSpecs[Is Equities Other Developed Markets],1):(INDEX(tblAssetMenuSpecs[Is Equities Other Developed Markets],NumberOfAssets))))</f>
        <v>0</v>
      </c>
      <c r="O171" s="280">
        <f>MMULT(INDEX(ReportAssetWeightsAdverse,ROW()-ROW(O$135),1):INDEX(ReportAssetWeightsAdverse,ROW()-ROW(O$135),NumberOfAssets),INT(INDEX(tblAssetMenuSpecs[Is Equities Emerging Markets],1):(INDEX(tblAssetMenuSpecs[Is Equities Emerging Markets],NumberOfAssets))))</f>
        <v>0</v>
      </c>
      <c r="P171" s="280">
        <f>MMULT(INDEX(ReportAssetWeightsAdverse,ROW()-ROW(P$135),1):INDEX(ReportAssetWeightsAdverse,ROW()-ROW(P$135),NumberOfAssets),INT(INDEX(tblAssetMenuSpecs[Is Commodities],1):(INDEX(tblAssetMenuSpecs[Is Commodities],NumberOfAssets))))</f>
        <v>0</v>
      </c>
      <c r="Q171" s="280">
        <f>MMULT(INDEX(ReportAssetWeightsAdverse,ROW()-ROW(Q$135),1):INDEX(ReportAssetWeightsAdverse,ROW()-ROW(Q$135),NumberOfAssets),INT(INDEX(tblAssetMenuSpecs[Is Private Equity],1):(INDEX(tblAssetMenuSpecs[Is Private Equity],NumberOfAssets))))</f>
        <v>0</v>
      </c>
      <c r="R171" s="280">
        <f>MMULT(INDEX(ReportAssetWeightsAdverse,ROW()-ROW(R$135),1):INDEX(ReportAssetWeightsAdverse,ROW()-ROW(R$135),NumberOfAssets),INT(INDEX(tblAssetMenuSpecs[Is Hedge Funds],1):(INDEX(tblAssetMenuSpecs[Is Hedge Funds],NumberOfAssets))))</f>
        <v>0</v>
      </c>
      <c r="S171" s="280">
        <f>MMULT(INDEX(ReportAssetWeightsAdverse,ROW()-ROW(S$135),1):INDEX(ReportAssetWeightsAdverse,ROW()-ROW(S$135),NumberOfAssets),INT(INDEX(tblAssetMenuSpecs[Is Real Estate EU],1):(INDEX(tblAssetMenuSpecs[Is Real Estate EU],NumberOfAssets))))</f>
        <v>0</v>
      </c>
      <c r="T171" s="280">
        <f>MMULT(INDEX(ReportAssetWeightsAdverse,ROW()-ROW(T$135),1):INDEX(ReportAssetWeightsAdverse,ROW()-ROW(T$135),NumberOfAssets),INT(INDEX(tblAssetMenuSpecs[Is Real Estate US],1):(INDEX(tblAssetMenuSpecs[Is Real Estate US],NumberOfAssets))))</f>
        <v>0</v>
      </c>
      <c r="U171" s="280">
        <f>MMULT(INDEX(ReportAssetWeightsAdverse,ROW()-ROW(U$135),1):INDEX(ReportAssetWeightsAdverse,ROW()-ROW(U$135),NumberOfAssets),INT(INDEX(tblAssetMenuSpecs[Is Real Estate Other Developed Markets],1):(INDEX(tblAssetMenuSpecs[Is Real Estate Other Developed Markets],NumberOfAssets))))</f>
        <v>0</v>
      </c>
      <c r="V171" s="280">
        <f>MMULT(INDEX(ReportAssetWeightsAdverse,ROW()-ROW(V$135),1):INDEX(ReportAssetWeightsAdverse,ROW()-ROW(V$135),NumberOfAssets),INT(INDEX(tblAssetMenuSpecs[Is Real Estate Commercial EU (non-leveraged)],1):(INDEX(tblAssetMenuSpecs[Is Real Estate Commercial EU (non-leveraged)],NumberOfAssets))))</f>
        <v>0</v>
      </c>
      <c r="W171" s="280">
        <f>MMULT(INDEX(ReportAssetWeightsAdverse,ROW()-ROW(W$135),1):INDEX(ReportAssetWeightsAdverse,ROW()-ROW(W$135),NumberOfAssets),INT(INDEX(tblAssetMenuSpecs[Is Real Estate Residential EU (non-leveraged)],1):(INDEX(tblAssetMenuSpecs[Is Real Estate Residential EU (non-leveraged)],NumberOfAssets))))</f>
        <v>0</v>
      </c>
      <c r="X171" s="280">
        <f>MMULT(INDEX(ReportAssetWeightsAdverse,ROW()-ROW(X$135),1):INDEX(ReportAssetWeightsAdverse,ROW()-ROW(X$135),NumberOfAssets),INT(INDEX(tblAssetMenuSpecs[Is Government Bond EU],1):(INDEX(tblAssetMenuSpecs[Is Government Bond EU],NumberOfAssets))))</f>
        <v>0</v>
      </c>
      <c r="Y171" s="280">
        <f>MMULT(INDEX(ReportAssetWeightsAdverse,ROW()-ROW(Y$135),1):INDEX(ReportAssetWeightsAdverse,ROW()-ROW(Y$135),NumberOfAssets),INT(INDEX(tblAssetMenuSpecs[Is Government Bond US],1):(INDEX(tblAssetMenuSpecs[Is Government Bond US],NumberOfAssets))))</f>
        <v>0</v>
      </c>
      <c r="Z171" s="280">
        <f>MMULT(INDEX(ReportAssetWeightsAdverse,ROW()-ROW(Z$135),1):INDEX(ReportAssetWeightsAdverse,ROW()-ROW(Z$135),NumberOfAssets),INT(INDEX(tblAssetMenuSpecs[Is Government Bond Other Developed Markets],1):(INDEX(tblAssetMenuSpecs[Is Government Bond Other Developed Markets],NumberOfAssets))))</f>
        <v>0</v>
      </c>
      <c r="AA171" s="280">
        <f>MMULT(INDEX(ReportAssetWeightsAdverse,ROW()-ROW(AA$135),1):INDEX(ReportAssetWeightsAdverse,ROW()-ROW(AA$135),NumberOfAssets),INT(INDEX(tblAssetMenuSpecs[Is Government Bond Emerging Markets],1):(INDEX(tblAssetMenuSpecs[Is Government Bond Emerging Markets],NumberOfAssets))))</f>
        <v>0</v>
      </c>
      <c r="AB171" s="280">
        <f>MMULT(INDEX(ReportAssetWeightsAdverse,ROW()-ROW(AB$135),1):INDEX(ReportAssetWeightsAdverse,ROW()-ROW(AB$135),NumberOfAssets),INT(INDEX(tblAssetMenuSpecs[Is Corporate Bond],1):(INDEX(tblAssetMenuSpecs[Is Corporate Bond],NumberOfAssets))))</f>
        <v>0</v>
      </c>
      <c r="AC171" s="280">
        <f>MMULT(INDEX(ReportAssetWeightsAdverse,ROW()-ROW(AC$135),1):INDEX(ReportAssetWeightsAdverse,ROW()-ROW(AC$135),NumberOfAssets),INT(INDEX(tblAssetMenuSpecs[Is Corporate Bond Non-Financial],1):(INDEX(tblAssetMenuSpecs[Is Corporate Bond Non-Financial],NumberOfAssets))))</f>
        <v>0</v>
      </c>
      <c r="AD171" s="280">
        <f>MMULT(INDEX(ReportAssetWeightsAdverse,ROW()-ROW(AD$135),1):INDEX(ReportAssetWeightsAdverse,ROW()-ROW(AD$135),NumberOfAssets),INT(INDEX(tblAssetMenuSpecs[Is Corporate Bond Financial],1):(INDEX(tblAssetMenuSpecs[Is Corporate Bond Financial],NumberOfAssets))))</f>
        <v>0</v>
      </c>
      <c r="AE171" s="280">
        <f>MMULT(INDEX(ReportAssetWeightsAdverse,ROW()-ROW(AE$135),1):INDEX(ReportAssetWeightsAdverse,ROW()-ROW(AE$135),NumberOfAssets),INT(INDEX(tblAssetMenuSpecs[Is Cash and Deposits],1):(INDEX(tblAssetMenuSpecs[Is Cash and Deposits],NumberOfAssets))))</f>
        <v>1</v>
      </c>
    </row>
  </sheetData>
  <sheetProtection algorithmName="SHA-512" hashValue="iYhGYb9Nglg1xjsIonTZeqole/JS0TpeeDbzF41uL8aRFhafvuEakQ8kcMxWuxn4sZtfomgf1VPT6Q7rySHAJQ==" saltValue="+vc0ZhQaHdFgMKJW7jWGKA==" spinCount="100000" sheet="1" objects="1" scenarios="1"/>
  <dataConsolidate leftLabels="1"/>
  <dataValidations disablePrompts="1" count="2">
    <dataValidation type="list" allowBlank="1" showInputMessage="1" showErrorMessage="1" sqref="B10">
      <formula1>ListMemberSheets</formula1>
    </dataValidation>
    <dataValidation showInputMessage="1" showErrorMessage="1" sqref="H95:J95 H135:J135"/>
  </dataValidation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eportMember20ySheet">
    <tabColor rgb="FF00B0F0"/>
  </sheetPr>
  <dimension ref="A1:AE141"/>
  <sheetViews>
    <sheetView zoomScaleNormal="100" workbookViewId="0"/>
  </sheetViews>
  <sheetFormatPr defaultColWidth="9.140625" defaultRowHeight="15" x14ac:dyDescent="0.25"/>
  <cols>
    <col min="1" max="1" width="13.140625" style="228" customWidth="1"/>
    <col min="2" max="2" width="19.140625" style="228" customWidth="1"/>
    <col min="3" max="3" width="9.140625" style="231" customWidth="1"/>
    <col min="4" max="4" width="3" style="231" customWidth="1"/>
    <col min="5" max="5" width="4.42578125" style="231" customWidth="1"/>
    <col min="6" max="6" width="5.140625" style="231" customWidth="1"/>
    <col min="7" max="10" width="13.28515625" style="231" customWidth="1"/>
    <col min="11" max="12" width="9.85546875" style="231" customWidth="1"/>
    <col min="13" max="13" width="9.28515625" style="231" customWidth="1"/>
    <col min="14" max="14" width="11" style="231" customWidth="1"/>
    <col min="15" max="15" width="9" style="231" customWidth="1"/>
    <col min="16" max="16" width="14.42578125" style="231" customWidth="1"/>
    <col min="17" max="17" width="11" style="231" customWidth="1"/>
    <col min="18" max="20" width="9.140625" style="231" customWidth="1"/>
    <col min="21" max="23" width="9.140625" style="231"/>
    <col min="24" max="24" width="10.42578125" style="231" customWidth="1"/>
    <col min="25" max="26" width="10.140625" style="231" customWidth="1"/>
    <col min="27" max="27" width="10" style="231" customWidth="1"/>
    <col min="28" max="16384" width="9.140625" style="231"/>
  </cols>
  <sheetData>
    <row r="1" spans="1:15" s="228" customFormat="1" x14ac:dyDescent="0.25">
      <c r="A1" s="228" t="s">
        <v>71</v>
      </c>
      <c r="B1" s="228" t="s">
        <v>138</v>
      </c>
      <c r="K1" s="228">
        <f>INDEX(tblMapSimulations[],MATCH(K2,tblMapSimulations[[ScenarioName]:[ScenarioName]],0),MATCH(Member,tblMapSimulations[#Headers]))</f>
        <v>3</v>
      </c>
      <c r="L1" s="228">
        <f>INDEX(tblMapSimulations[],MATCH(L2,tblMapSimulations[[ScenarioName]:[ScenarioName]],0),MATCH(Member,tblMapSimulations[#Headers]))</f>
        <v>4</v>
      </c>
      <c r="N1" s="228">
        <f>INDEX(tblMapSimulations[],MATCH(N2,tblMapSimulations[[ScenarioName]:[ScenarioName]],0),MATCH(Member,tblMapSimulations[#Headers]))</f>
        <v>8</v>
      </c>
    </row>
    <row r="2" spans="1:15" s="228" customFormat="1" x14ac:dyDescent="0.25">
      <c r="A2" s="228" t="s">
        <v>73</v>
      </c>
      <c r="B2" s="228">
        <v>1.1000000000000001</v>
      </c>
      <c r="K2" s="229" t="s">
        <v>194</v>
      </c>
      <c r="L2" s="229" t="s">
        <v>526</v>
      </c>
      <c r="M2" s="230"/>
      <c r="N2" s="230" t="s">
        <v>450</v>
      </c>
    </row>
    <row r="3" spans="1:15" x14ac:dyDescent="0.25">
      <c r="A3" s="228" t="s">
        <v>89</v>
      </c>
      <c r="B3" s="228">
        <v>3</v>
      </c>
    </row>
    <row r="4" spans="1:15" x14ac:dyDescent="0.25">
      <c r="A4" s="228" t="s">
        <v>90</v>
      </c>
      <c r="B4" s="228">
        <v>3</v>
      </c>
    </row>
    <row r="5" spans="1:15" ht="26.25" x14ac:dyDescent="0.4">
      <c r="A5" s="228" t="s">
        <v>91</v>
      </c>
      <c r="B5" s="228">
        <v>142</v>
      </c>
      <c r="K5" s="232" t="s">
        <v>347</v>
      </c>
    </row>
    <row r="6" spans="1:15" x14ac:dyDescent="0.25">
      <c r="A6" s="228" t="s">
        <v>92</v>
      </c>
      <c r="B6" s="228">
        <v>32</v>
      </c>
    </row>
    <row r="7" spans="1:15" x14ac:dyDescent="0.25">
      <c r="A7" s="228" t="s">
        <v>94</v>
      </c>
      <c r="B7" s="228" t="b">
        <v>0</v>
      </c>
    </row>
    <row r="8" spans="1:15" x14ac:dyDescent="0.25">
      <c r="A8" s="228" t="s">
        <v>96</v>
      </c>
      <c r="B8" s="228" t="b">
        <v>1</v>
      </c>
    </row>
    <row r="9" spans="1:15" s="233" customFormat="1" ht="9" customHeight="1" x14ac:dyDescent="0.25">
      <c r="A9" s="233" t="s">
        <v>434</v>
      </c>
      <c r="B9" s="234" t="b">
        <v>0</v>
      </c>
      <c r="D9" s="235"/>
      <c r="E9" s="235"/>
      <c r="F9" s="235"/>
      <c r="G9" s="235"/>
      <c r="H9" s="235"/>
      <c r="I9" s="235"/>
      <c r="J9" s="235"/>
      <c r="K9" s="235"/>
      <c r="L9" s="235"/>
      <c r="M9" s="235"/>
      <c r="N9" s="235"/>
    </row>
    <row r="10" spans="1:15" x14ac:dyDescent="0.25">
      <c r="A10" s="236" t="s">
        <v>76</v>
      </c>
      <c r="B10" s="237" t="s">
        <v>129</v>
      </c>
      <c r="D10" s="236"/>
      <c r="E10" s="236"/>
      <c r="F10" s="236"/>
      <c r="G10" s="236"/>
      <c r="H10" s="236"/>
      <c r="I10" s="236"/>
      <c r="J10" s="236"/>
      <c r="K10" s="236"/>
      <c r="L10" s="238"/>
      <c r="M10" s="236"/>
      <c r="N10" s="236"/>
      <c r="O10" s="236"/>
    </row>
    <row r="11" spans="1:15" ht="36" customHeight="1" x14ac:dyDescent="0.25">
      <c r="B11" s="228">
        <f>MATCH(Member,ListMemberSheets,0)</f>
        <v>2</v>
      </c>
      <c r="D11" s="236"/>
      <c r="E11" s="239"/>
      <c r="F11" s="239"/>
      <c r="G11" s="239"/>
      <c r="H11" s="239"/>
      <c r="I11" s="239"/>
      <c r="J11" s="239"/>
      <c r="K11" s="240" t="s">
        <v>135</v>
      </c>
      <c r="L11" s="240" t="s">
        <v>544</v>
      </c>
      <c r="M11" s="240"/>
      <c r="N11" s="240" t="s">
        <v>449</v>
      </c>
      <c r="O11" s="236"/>
    </row>
    <row r="12" spans="1:15" x14ac:dyDescent="0.25">
      <c r="D12" s="236"/>
      <c r="E12" s="241" t="s">
        <v>362</v>
      </c>
      <c r="F12" s="241"/>
      <c r="G12" s="236"/>
      <c r="H12" s="236"/>
      <c r="I12" s="236"/>
      <c r="J12" s="236"/>
      <c r="K12" s="236"/>
      <c r="L12" s="236"/>
      <c r="M12" s="236"/>
      <c r="N12" s="236"/>
      <c r="O12" s="236"/>
    </row>
    <row r="13" spans="1:15" x14ac:dyDescent="0.25">
      <c r="D13" s="236"/>
      <c r="E13" s="236"/>
      <c r="F13" s="236"/>
      <c r="G13" s="242" t="s">
        <v>137</v>
      </c>
      <c r="H13" s="242"/>
      <c r="I13" s="242"/>
      <c r="J13" s="242"/>
      <c r="K13" s="243">
        <f>INDEX(tblSimulationOutcomes[Val::Final_wage],K$1)</f>
        <v>0</v>
      </c>
      <c r="L13" s="243">
        <f>INDEX(tblSimulationOutcomes[Val::Final_wage],L$1)</f>
        <v>0</v>
      </c>
      <c r="M13" s="244"/>
      <c r="N13" s="244"/>
      <c r="O13" s="236"/>
    </row>
    <row r="14" spans="1:15" x14ac:dyDescent="0.25">
      <c r="D14" s="236"/>
      <c r="E14" s="236"/>
      <c r="F14" s="236"/>
      <c r="G14" s="242" t="s">
        <v>363</v>
      </c>
      <c r="H14" s="242"/>
      <c r="I14" s="242"/>
      <c r="J14" s="242"/>
      <c r="K14" s="244"/>
      <c r="L14" s="245" t="e">
        <f>L13/$K13-1</f>
        <v>#DIV/0!</v>
      </c>
      <c r="M14" s="246"/>
      <c r="N14" s="246"/>
      <c r="O14" s="236"/>
    </row>
    <row r="15" spans="1:15" x14ac:dyDescent="0.25">
      <c r="D15" s="236"/>
      <c r="E15" s="239"/>
      <c r="F15" s="239"/>
      <c r="G15" s="239"/>
      <c r="H15" s="239"/>
      <c r="I15" s="239"/>
      <c r="J15" s="239"/>
      <c r="K15" s="239"/>
      <c r="L15" s="239"/>
      <c r="M15" s="239"/>
      <c r="N15" s="239"/>
      <c r="O15" s="236"/>
    </row>
    <row r="16" spans="1:15" x14ac:dyDescent="0.25">
      <c r="D16" s="236"/>
      <c r="E16" s="241" t="s">
        <v>401</v>
      </c>
      <c r="F16" s="239"/>
      <c r="G16" s="239"/>
      <c r="H16" s="239"/>
      <c r="I16" s="239"/>
      <c r="J16" s="239"/>
      <c r="K16" s="247">
        <f>INDEX(tblSimulationOutcomes[Val::Life_expectancy_from_retirement],K$1)</f>
        <v>0</v>
      </c>
      <c r="L16" s="247">
        <f>INDEX(tblSimulationOutcomes[Val::Life_expectancy_from_retirement],L$1)</f>
        <v>0</v>
      </c>
      <c r="M16" s="248"/>
      <c r="N16" s="248"/>
      <c r="O16" s="236"/>
    </row>
    <row r="17" spans="1:16" x14ac:dyDescent="0.25">
      <c r="D17" s="236"/>
      <c r="E17" s="239"/>
      <c r="F17" s="239"/>
      <c r="G17" s="239"/>
      <c r="H17" s="239"/>
      <c r="I17" s="239"/>
      <c r="J17" s="239"/>
      <c r="K17" s="239"/>
      <c r="L17" s="239"/>
      <c r="M17" s="239"/>
      <c r="N17" s="239"/>
      <c r="O17" s="236"/>
    </row>
    <row r="18" spans="1:16" x14ac:dyDescent="0.25">
      <c r="D18" s="236"/>
      <c r="E18" s="241" t="s">
        <v>368</v>
      </c>
      <c r="F18" s="241"/>
      <c r="G18" s="249"/>
      <c r="H18" s="249"/>
      <c r="I18" s="242"/>
      <c r="J18" s="249"/>
      <c r="K18" s="239"/>
      <c r="L18" s="239"/>
      <c r="M18" s="239"/>
      <c r="N18" s="239"/>
      <c r="O18" s="236"/>
    </row>
    <row r="19" spans="1:16" x14ac:dyDescent="0.25">
      <c r="A19" s="228" t="e">
        <f>MATCH(1,[0]!YTRSim,0)</f>
        <v>#REF!</v>
      </c>
      <c r="D19" s="236"/>
      <c r="E19" s="236"/>
      <c r="F19" s="236"/>
      <c r="G19" s="242" t="s">
        <v>136</v>
      </c>
      <c r="H19" s="242"/>
      <c r="I19" s="242"/>
      <c r="J19" s="242"/>
      <c r="K19" s="250">
        <f>INDEX(tblSimulationOutcomes[Val::Pension_wealth],K$1)</f>
        <v>0</v>
      </c>
      <c r="L19" s="250">
        <f>INDEX(tblSimulationOutcomes[Val::Pension_wealth],L$1)</f>
        <v>0</v>
      </c>
      <c r="M19" s="251"/>
      <c r="N19" s="250">
        <f>INDEX(tblSimulationOutcomes[Val::Pension_wealth],N$1)</f>
        <v>0</v>
      </c>
      <c r="O19" s="236"/>
    </row>
    <row r="20" spans="1:16" x14ac:dyDescent="0.25">
      <c r="D20" s="236"/>
      <c r="E20" s="252"/>
      <c r="F20" s="252"/>
      <c r="G20" s="242" t="s">
        <v>363</v>
      </c>
      <c r="H20" s="242"/>
      <c r="I20" s="242"/>
      <c r="J20" s="242"/>
      <c r="K20" s="251"/>
      <c r="L20" s="253" t="e">
        <f>L19/$K19-1</f>
        <v>#DIV/0!</v>
      </c>
      <c r="M20" s="254"/>
      <c r="N20" s="255" t="e">
        <f>N19/$K19-1</f>
        <v>#DIV/0!</v>
      </c>
      <c r="O20" s="236"/>
    </row>
    <row r="21" spans="1:16" x14ac:dyDescent="0.25">
      <c r="D21" s="236"/>
      <c r="E21" s="252"/>
      <c r="F21" s="252"/>
      <c r="G21" s="242"/>
      <c r="H21" s="242"/>
      <c r="I21" s="242"/>
      <c r="J21" s="242"/>
      <c r="K21" s="251"/>
      <c r="L21" s="254"/>
      <c r="M21" s="254"/>
      <c r="N21" s="254"/>
      <c r="O21" s="236"/>
    </row>
    <row r="22" spans="1:16" hidden="1" x14ac:dyDescent="0.25">
      <c r="D22" s="236"/>
      <c r="E22" s="252"/>
      <c r="F22" s="252"/>
      <c r="G22" s="242" t="s">
        <v>364</v>
      </c>
      <c r="H22" s="242"/>
      <c r="I22" s="242"/>
      <c r="J22" s="242"/>
      <c r="K22" s="251"/>
      <c r="L22" s="256">
        <f>IF(INDEX(tblSimulationOutcomes[[ContrExit::Pension_wealth]:[ContrExit::Pension_wealth]],L$1)=0,INDEX(tblSimulationOutcomes[[Contr::Pension_wealth]:[Contr::Pension_wealth]],L$1), "-")</f>
        <v>0</v>
      </c>
      <c r="M22" s="257"/>
      <c r="N22" s="256">
        <f>IF(INDEX(tblSimulationOutcomes[[ContrExit::Pension_wealth]:[ContrExit::Pension_wealth]],N$1)=0,INDEX(tblSimulationOutcomes[[Contr::Pension_wealth]:[Contr::Pension_wealth]],N$1), "-")</f>
        <v>0</v>
      </c>
      <c r="O22" s="236"/>
    </row>
    <row r="23" spans="1:16" hidden="1" x14ac:dyDescent="0.25">
      <c r="D23" s="236"/>
      <c r="E23" s="252"/>
      <c r="F23" s="252"/>
      <c r="G23" s="242" t="s">
        <v>365</v>
      </c>
      <c r="H23" s="242"/>
      <c r="I23" s="242"/>
      <c r="J23" s="242"/>
      <c r="K23" s="251"/>
      <c r="L23" s="250">
        <f>IF(INDEX(tblSimulationOutcomes[[PAExit::Pension_wealth]:[PAExit::Pension_wealth]],L$1)=0,ROUND(12*INDEX(tblSimulationOutcomes[[PA::Pension_wealth]:[PA::Pension_wealth]],L$1),0), "-")</f>
        <v>0</v>
      </c>
      <c r="M23" s="251"/>
      <c r="N23" s="250">
        <f>IF(INDEX(tblSimulationOutcomes[[PAExit::Pension_wealth]:[PAExit::Pension_wealth]],N$1)=0,ROUND(12*INDEX(tblSimulationOutcomes[[PA::Pension_wealth]:[PA::Pension_wealth]],N$1),0), "-")</f>
        <v>0</v>
      </c>
      <c r="O23" s="236"/>
    </row>
    <row r="24" spans="1:16" hidden="1" x14ac:dyDescent="0.25">
      <c r="D24" s="236"/>
      <c r="E24" s="252"/>
      <c r="F24" s="252"/>
      <c r="G24" s="242"/>
      <c r="H24" s="242"/>
      <c r="I24" s="242"/>
      <c r="J24" s="242"/>
      <c r="K24" s="251"/>
      <c r="L24" s="251"/>
      <c r="M24" s="251"/>
      <c r="N24" s="251"/>
      <c r="O24" s="236"/>
    </row>
    <row r="25" spans="1:16" s="233" customFormat="1" x14ac:dyDescent="0.25"/>
    <row r="26" spans="1:16" ht="18.75" x14ac:dyDescent="0.3">
      <c r="D26" s="236"/>
      <c r="E26" s="258" t="s">
        <v>367</v>
      </c>
      <c r="F26" s="258"/>
      <c r="G26" s="236"/>
      <c r="H26" s="236"/>
      <c r="I26" s="236"/>
      <c r="J26" s="236"/>
      <c r="K26" s="236"/>
      <c r="L26" s="236"/>
      <c r="M26" s="236"/>
      <c r="N26" s="236"/>
      <c r="O26" s="236"/>
    </row>
    <row r="27" spans="1:16" ht="27.75" customHeight="1" x14ac:dyDescent="0.25">
      <c r="D27" s="236"/>
      <c r="E27" s="236"/>
      <c r="F27" s="236"/>
      <c r="G27" s="242"/>
      <c r="H27" s="242"/>
      <c r="I27" s="242"/>
      <c r="J27" s="242"/>
      <c r="K27" s="240" t="s">
        <v>135</v>
      </c>
      <c r="L27" s="240" t="s">
        <v>544</v>
      </c>
      <c r="M27" s="240"/>
      <c r="N27" s="240" t="s">
        <v>449</v>
      </c>
      <c r="O27" s="236"/>
    </row>
    <row r="28" spans="1:16" x14ac:dyDescent="0.25">
      <c r="D28" s="236"/>
      <c r="E28" s="236"/>
      <c r="F28" s="259" t="s">
        <v>254</v>
      </c>
      <c r="G28" s="236"/>
      <c r="H28" s="236"/>
      <c r="I28" s="236"/>
      <c r="J28" s="236"/>
      <c r="K28" s="236"/>
      <c r="L28" s="236"/>
      <c r="M28" s="236"/>
      <c r="N28" s="236"/>
      <c r="O28" s="260"/>
      <c r="P28" s="233"/>
    </row>
    <row r="29" spans="1:16" x14ac:dyDescent="0.25">
      <c r="D29" s="236"/>
      <c r="E29" s="236"/>
      <c r="F29" s="236"/>
      <c r="G29" s="236" t="s">
        <v>371</v>
      </c>
      <c r="H29" s="236"/>
      <c r="I29" s="236"/>
      <c r="J29" s="236"/>
      <c r="K29" s="261">
        <f>INDEX(tblSimulationOutcomes[Val::PensionIncNomAnnuity],K$1)</f>
        <v>0</v>
      </c>
      <c r="L29" s="261">
        <f>INDEX(tblSimulationOutcomes[Val::PensionIncNomAnnuity],L$1)</f>
        <v>0</v>
      </c>
      <c r="M29" s="244"/>
      <c r="N29" s="261">
        <f>INDEX(tblSimulationOutcomes[Val::PensionIncNomAnnuity],N$1)</f>
        <v>0</v>
      </c>
      <c r="O29" s="260"/>
      <c r="P29" s="233"/>
    </row>
    <row r="30" spans="1:16" x14ac:dyDescent="0.25">
      <c r="D30" s="236"/>
      <c r="E30" s="236"/>
      <c r="F30" s="236"/>
      <c r="G30" s="242" t="s">
        <v>366</v>
      </c>
      <c r="H30" s="242"/>
      <c r="I30" s="242"/>
      <c r="J30" s="242"/>
      <c r="K30" s="246"/>
      <c r="L30" s="245" t="e">
        <f>L29/$K29-1</f>
        <v>#DIV/0!</v>
      </c>
      <c r="M30" s="246"/>
      <c r="N30" s="262" t="e">
        <f>N29/$K29-1</f>
        <v>#DIV/0!</v>
      </c>
      <c r="O30" s="260"/>
      <c r="P30" s="233"/>
    </row>
    <row r="31" spans="1:16" x14ac:dyDescent="0.25">
      <c r="D31" s="236"/>
      <c r="E31" s="236"/>
      <c r="F31" s="236"/>
      <c r="G31" s="242"/>
      <c r="H31" s="242"/>
      <c r="I31" s="242"/>
      <c r="J31" s="242"/>
      <c r="K31" s="246"/>
      <c r="L31" s="246"/>
      <c r="M31" s="246"/>
      <c r="N31" s="246"/>
      <c r="O31" s="260"/>
      <c r="P31" s="233"/>
    </row>
    <row r="32" spans="1:16" hidden="1" x14ac:dyDescent="0.25">
      <c r="D32" s="236"/>
      <c r="E32" s="236"/>
      <c r="F32" s="236"/>
      <c r="G32" s="242" t="s">
        <v>364</v>
      </c>
      <c r="H32" s="242"/>
      <c r="I32" s="242"/>
      <c r="J32" s="242"/>
      <c r="K32" s="251"/>
      <c r="L32" s="256">
        <f>IF(INDEX(tblSimulationOutcomes[[ContrExit::PensionIncNomAnnuity]:[ContrExit::PensionIncNomAnnuity]],L$1)=0,INDEX(tblSimulationOutcomes[[Contr::PensionIncNomAnnuity]:[Contr::PensionIncNomAnnuity]],L$1), "-")</f>
        <v>0</v>
      </c>
      <c r="M32" s="257"/>
      <c r="N32" s="256">
        <f>IF(INDEX(tblSimulationOutcomes[[ContrExit::PensionIncNomAnnuity]:[ContrExit::PensionIncNomAnnuity]],N$1)=0,INDEX(tblSimulationOutcomes[[Contr::PensionIncNomAnnuity]:[Contr::PensionIncNomAnnuity]],N$1), "-")</f>
        <v>0</v>
      </c>
      <c r="O32" s="260"/>
      <c r="P32" s="233"/>
    </row>
    <row r="33" spans="4:16" hidden="1" x14ac:dyDescent="0.25">
      <c r="D33" s="236"/>
      <c r="E33" s="236"/>
      <c r="F33" s="236"/>
      <c r="G33" s="242" t="s">
        <v>365</v>
      </c>
      <c r="H33" s="242"/>
      <c r="I33" s="242"/>
      <c r="J33" s="242"/>
      <c r="K33" s="251"/>
      <c r="L33" s="250">
        <f>IF(INDEX(tblSimulationOutcomes[[PAExit::PensionIncNomAnnuity]:[PAExit::PensionIncNomAnnuity]],L$1)=0,ROUND(12*INDEX(tblSimulationOutcomes[[PA::PensionIncNomAnnuity]:[PA::PensionIncNomAnnuity]],L$1),0), "-")</f>
        <v>0</v>
      </c>
      <c r="M33" s="251"/>
      <c r="N33" s="250">
        <f>IF(INDEX(tblSimulationOutcomes[[PAExit::PensionIncNomAnnuity]:[PAExit::PensionIncNomAnnuity]],N$1)=0,ROUND(12*INDEX(tblSimulationOutcomes[[PA::PensionIncNomAnnuity]:[PA::PensionIncNomAnnuity]],N$1),0), "-")</f>
        <v>0</v>
      </c>
      <c r="O33" s="260"/>
      <c r="P33" s="233"/>
    </row>
    <row r="34" spans="4:16" hidden="1" x14ac:dyDescent="0.25">
      <c r="D34" s="236"/>
      <c r="E34" s="236"/>
      <c r="F34" s="236"/>
      <c r="G34" s="236"/>
      <c r="H34" s="236"/>
      <c r="I34" s="236"/>
      <c r="J34" s="236"/>
      <c r="K34" s="236"/>
      <c r="L34" s="236"/>
      <c r="M34" s="236"/>
      <c r="N34" s="236"/>
      <c r="O34" s="236"/>
    </row>
    <row r="35" spans="4:16" x14ac:dyDescent="0.25">
      <c r="D35" s="236"/>
      <c r="E35" s="236"/>
      <c r="F35" s="259" t="s">
        <v>353</v>
      </c>
      <c r="G35" s="236"/>
      <c r="H35" s="236"/>
      <c r="I35" s="236"/>
      <c r="J35" s="236"/>
      <c r="K35" s="236"/>
      <c r="L35" s="236"/>
      <c r="M35" s="236"/>
      <c r="N35" s="236"/>
      <c r="O35" s="260"/>
    </row>
    <row r="36" spans="4:16" x14ac:dyDescent="0.25">
      <c r="D36" s="236"/>
      <c r="E36" s="236"/>
      <c r="F36" s="236"/>
      <c r="G36" s="236" t="s">
        <v>371</v>
      </c>
      <c r="H36" s="236"/>
      <c r="I36" s="236"/>
      <c r="J36" s="236"/>
      <c r="K36" s="261">
        <f>INDEX(tblSimulationOutcomes[Val::PensionIncRealAnnuity],K$1)</f>
        <v>0</v>
      </c>
      <c r="L36" s="261">
        <f>INDEX(tblSimulationOutcomes[Val::PensionIncRealAnnuity],L$1)</f>
        <v>0</v>
      </c>
      <c r="M36" s="244"/>
      <c r="N36" s="261">
        <f>INDEX(tblSimulationOutcomes[Val::PensionIncRealAnnuity],N$1)</f>
        <v>0</v>
      </c>
      <c r="O36" s="260"/>
    </row>
    <row r="37" spans="4:16" x14ac:dyDescent="0.25">
      <c r="D37" s="236"/>
      <c r="E37" s="236"/>
      <c r="F37" s="236"/>
      <c r="G37" s="242" t="s">
        <v>366</v>
      </c>
      <c r="H37" s="242"/>
      <c r="I37" s="242"/>
      <c r="J37" s="242"/>
      <c r="K37" s="246"/>
      <c r="L37" s="245" t="e">
        <f>L36/$K36-1</f>
        <v>#DIV/0!</v>
      </c>
      <c r="M37" s="246"/>
      <c r="N37" s="262" t="e">
        <f>N36/$K36-1</f>
        <v>#DIV/0!</v>
      </c>
      <c r="O37" s="260"/>
    </row>
    <row r="38" spans="4:16" x14ac:dyDescent="0.25">
      <c r="D38" s="236"/>
      <c r="E38" s="236"/>
      <c r="F38" s="236"/>
      <c r="G38" s="242"/>
      <c r="H38" s="242"/>
      <c r="I38" s="242"/>
      <c r="J38" s="242"/>
      <c r="K38" s="246"/>
      <c r="L38" s="246"/>
      <c r="M38" s="246"/>
      <c r="N38" s="246"/>
      <c r="O38" s="260"/>
    </row>
    <row r="39" spans="4:16" hidden="1" x14ac:dyDescent="0.25">
      <c r="D39" s="236"/>
      <c r="E39" s="236"/>
      <c r="F39" s="236"/>
      <c r="G39" s="242" t="s">
        <v>364</v>
      </c>
      <c r="H39" s="242"/>
      <c r="I39" s="242"/>
      <c r="J39" s="242"/>
      <c r="K39" s="251"/>
      <c r="L39" s="256">
        <f>IF(INDEX(tblSimulationOutcomes[[ContrExit::PensionIncRealAnnuity]:[ContrExit::PensionIncRealAnnuity]],L$1)=0,INDEX(tblSimulationOutcomes[[Contr::PensionIncRealAnnuity]:[Contr::PensionIncRealAnnuity]],L$1), "-")</f>
        <v>0</v>
      </c>
      <c r="M39" s="257"/>
      <c r="N39" s="256">
        <f>IF(INDEX(tblSimulationOutcomes[[ContrExit::PensionIncRealAnnuity]:[ContrExit::PensionIncRealAnnuity]],N$1)=0,INDEX(tblSimulationOutcomes[[Contr::PensionIncRealAnnuity]:[Contr::PensionIncRealAnnuity]],N$1), "-")</f>
        <v>0</v>
      </c>
      <c r="O39" s="260"/>
    </row>
    <row r="40" spans="4:16" hidden="1" x14ac:dyDescent="0.25">
      <c r="D40" s="236"/>
      <c r="E40" s="236"/>
      <c r="F40" s="236"/>
      <c r="G40" s="242" t="s">
        <v>365</v>
      </c>
      <c r="H40" s="242"/>
      <c r="I40" s="242"/>
      <c r="J40" s="242"/>
      <c r="K40" s="251"/>
      <c r="L40" s="250">
        <f>IF(INDEX(tblSimulationOutcomes[[PAExit::PensionIncRealAnnuity]:[PAExit::PensionIncRealAnnuity]],L$1)=0,ROUND(12*INDEX(tblSimulationOutcomes[[PA::PensionIncRealAnnuity]:[PA::PensionIncRealAnnuity]],L$1),0), "-")</f>
        <v>0</v>
      </c>
      <c r="M40" s="251"/>
      <c r="N40" s="250">
        <f>IF(INDEX(tblSimulationOutcomes[[PAExit::PensionIncRealAnnuity]:[PAExit::PensionIncRealAnnuity]],N$1)=0,ROUND(12*INDEX(tblSimulationOutcomes[[PA::PensionIncRealAnnuity]:[PA::PensionIncRealAnnuity]],N$1),0), "-")</f>
        <v>0</v>
      </c>
      <c r="O40" s="260"/>
    </row>
    <row r="41" spans="4:16" hidden="1" x14ac:dyDescent="0.25">
      <c r="D41" s="236"/>
      <c r="E41" s="236"/>
      <c r="F41" s="236"/>
      <c r="G41" s="236"/>
      <c r="H41" s="236"/>
      <c r="I41" s="236"/>
      <c r="J41" s="236"/>
      <c r="K41" s="236"/>
      <c r="L41" s="236"/>
      <c r="M41" s="236"/>
      <c r="N41" s="236"/>
      <c r="O41" s="236"/>
    </row>
    <row r="42" spans="4:16" x14ac:dyDescent="0.25">
      <c r="D42" s="236"/>
      <c r="E42" s="236"/>
      <c r="F42" s="259" t="s">
        <v>255</v>
      </c>
      <c r="G42" s="236"/>
      <c r="H42" s="236"/>
      <c r="I42" s="236"/>
      <c r="J42" s="236"/>
      <c r="K42" s="236"/>
      <c r="L42" s="236"/>
      <c r="M42" s="236"/>
      <c r="N42" s="236"/>
      <c r="O42" s="236"/>
    </row>
    <row r="43" spans="4:16" x14ac:dyDescent="0.25">
      <c r="D43" s="236"/>
      <c r="E43" s="236"/>
      <c r="F43" s="236"/>
      <c r="G43" s="236" t="s">
        <v>371</v>
      </c>
      <c r="H43" s="236"/>
      <c r="I43" s="236"/>
      <c r="J43" s="236"/>
      <c r="K43" s="261">
        <f>INDEX(tblSimulationOutcomes[Val::PensionIncNomDD],K$1)</f>
        <v>0</v>
      </c>
      <c r="L43" s="261">
        <f>INDEX(tblSimulationOutcomes[Val::PensionIncNomDD],L$1)</f>
        <v>0</v>
      </c>
      <c r="M43" s="244"/>
      <c r="N43" s="261">
        <f>INDEX(tblSimulationOutcomes[Val::PensionIncNomDD],N$1)</f>
        <v>0</v>
      </c>
      <c r="O43" s="236"/>
    </row>
    <row r="44" spans="4:16" x14ac:dyDescent="0.25">
      <c r="D44" s="236"/>
      <c r="E44" s="236"/>
      <c r="F44" s="236"/>
      <c r="G44" s="242" t="s">
        <v>366</v>
      </c>
      <c r="H44" s="242"/>
      <c r="I44" s="242"/>
      <c r="J44" s="242"/>
      <c r="K44" s="246"/>
      <c r="L44" s="245" t="e">
        <f>L43/$K43-1</f>
        <v>#DIV/0!</v>
      </c>
      <c r="M44" s="246"/>
      <c r="N44" s="262" t="e">
        <f>N43/$K43-1</f>
        <v>#DIV/0!</v>
      </c>
      <c r="O44" s="236"/>
    </row>
    <row r="45" spans="4:16" x14ac:dyDescent="0.25">
      <c r="D45" s="236"/>
      <c r="E45" s="236"/>
      <c r="F45" s="236"/>
      <c r="G45" s="242"/>
      <c r="H45" s="242"/>
      <c r="I45" s="242"/>
      <c r="J45" s="242"/>
      <c r="K45" s="246"/>
      <c r="L45" s="246"/>
      <c r="M45" s="246"/>
      <c r="N45" s="246"/>
      <c r="O45" s="236"/>
    </row>
    <row r="46" spans="4:16" hidden="1" x14ac:dyDescent="0.25">
      <c r="D46" s="236"/>
      <c r="E46" s="236"/>
      <c r="F46" s="236"/>
      <c r="G46" s="242" t="s">
        <v>364</v>
      </c>
      <c r="H46" s="242"/>
      <c r="I46" s="242"/>
      <c r="J46" s="242"/>
      <c r="K46" s="251"/>
      <c r="L46" s="256">
        <f>IF(INDEX(tblSimulationOutcomes[[ContrExit::PensionIncNomDD]:[ContrExit::PensionIncNomDD]],L$1)=0,INDEX(tblSimulationOutcomes[[Contr::PensionIncNomDD]:[Contr::PensionIncNomDD]],L$1), "-")</f>
        <v>0</v>
      </c>
      <c r="M46" s="257"/>
      <c r="N46" s="256">
        <f>IF(INDEX(tblSimulationOutcomes[[ContrExit::PensionIncNomDD]:[ContrExit::PensionIncNomDD]],N$1)=0,INDEX(tblSimulationOutcomes[[Contr::PensionIncNomDD]:[Contr::PensionIncNomDD]],N$1), "-")</f>
        <v>0</v>
      </c>
      <c r="O46" s="236"/>
    </row>
    <row r="47" spans="4:16" hidden="1" x14ac:dyDescent="0.25">
      <c r="D47" s="236"/>
      <c r="E47" s="236"/>
      <c r="F47" s="236"/>
      <c r="G47" s="242" t="s">
        <v>365</v>
      </c>
      <c r="H47" s="242"/>
      <c r="I47" s="242"/>
      <c r="J47" s="242"/>
      <c r="K47" s="251"/>
      <c r="L47" s="250">
        <f>IF(INDEX(tblSimulationOutcomes[[PAExit::PensionIncNomDD]:[PAExit::PensionIncNomDD]],L$1)=0,ROUND(12*INDEX(tblSimulationOutcomes[[PA::PensionIncNomDD]:[PA::PensionIncNomDD]],L$1),0), "-")</f>
        <v>0</v>
      </c>
      <c r="M47" s="251"/>
      <c r="N47" s="250">
        <f>IF(INDEX(tblSimulationOutcomes[[PAExit::PensionIncNomDD]:[PAExit::PensionIncNomDD]],N$1)=0,ROUND(12*INDEX(tblSimulationOutcomes[[PA::PensionIncNomDD]:[PA::PensionIncNomDD]],N$1),0), "-")</f>
        <v>0</v>
      </c>
      <c r="O47" s="236"/>
    </row>
    <row r="48" spans="4:16" hidden="1" x14ac:dyDescent="0.25">
      <c r="D48" s="236"/>
      <c r="E48" s="236"/>
      <c r="F48" s="236"/>
      <c r="G48" s="242"/>
      <c r="H48" s="242"/>
      <c r="I48" s="242"/>
      <c r="J48" s="242"/>
      <c r="K48" s="251"/>
      <c r="L48" s="251"/>
      <c r="M48" s="251"/>
      <c r="N48" s="251"/>
      <c r="O48" s="236"/>
    </row>
    <row r="49" spans="1:15" s="233" customFormat="1" x14ac:dyDescent="0.25">
      <c r="G49" s="263"/>
      <c r="H49" s="263"/>
      <c r="I49" s="263"/>
      <c r="J49" s="263"/>
      <c r="K49" s="264"/>
      <c r="L49" s="264"/>
      <c r="M49" s="264"/>
      <c r="N49" s="264"/>
    </row>
    <row r="50" spans="1:15" ht="18.75" x14ac:dyDescent="0.3">
      <c r="D50" s="236"/>
      <c r="E50" s="258" t="s">
        <v>369</v>
      </c>
      <c r="F50" s="258"/>
      <c r="G50" s="236"/>
      <c r="H50" s="236"/>
      <c r="I50" s="236"/>
      <c r="J50" s="236"/>
      <c r="K50" s="236"/>
      <c r="L50" s="236"/>
      <c r="M50" s="236"/>
      <c r="N50" s="236"/>
      <c r="O50" s="236"/>
    </row>
    <row r="51" spans="1:15" ht="33" customHeight="1" x14ac:dyDescent="0.3">
      <c r="D51" s="236"/>
      <c r="E51" s="258"/>
      <c r="F51" s="258"/>
      <c r="G51" s="236"/>
      <c r="H51" s="236"/>
      <c r="I51" s="236"/>
      <c r="J51" s="236"/>
      <c r="K51" s="240" t="s">
        <v>135</v>
      </c>
      <c r="L51" s="240" t="s">
        <v>544</v>
      </c>
      <c r="M51" s="240"/>
      <c r="N51" s="240" t="s">
        <v>449</v>
      </c>
      <c r="O51" s="236"/>
    </row>
    <row r="52" spans="1:15" x14ac:dyDescent="0.25">
      <c r="D52" s="236"/>
      <c r="E52" s="236"/>
      <c r="F52" s="259" t="s">
        <v>254</v>
      </c>
      <c r="G52" s="236"/>
      <c r="H52" s="236"/>
      <c r="I52" s="236"/>
      <c r="J52" s="236"/>
      <c r="K52" s="236"/>
      <c r="L52" s="236"/>
      <c r="M52" s="236"/>
      <c r="N52" s="236"/>
      <c r="O52" s="236"/>
    </row>
    <row r="53" spans="1:15" x14ac:dyDescent="0.25">
      <c r="D53" s="236"/>
      <c r="E53" s="236"/>
      <c r="F53" s="236"/>
      <c r="G53" s="236" t="s">
        <v>370</v>
      </c>
      <c r="H53" s="236"/>
      <c r="I53" s="236"/>
      <c r="J53" s="236"/>
      <c r="K53" s="265">
        <f>INDEX(tblSimulationOutcomes[Val::RepRateNomAnnuity],K$1)</f>
        <v>0</v>
      </c>
      <c r="L53" s="265">
        <f>INDEX(tblSimulationOutcomes[Val::RepRateNomAnnuity],L$1)</f>
        <v>0</v>
      </c>
      <c r="M53" s="266"/>
      <c r="N53" s="265">
        <f>INDEX(tblSimulationOutcomes[Val::RepRateNomAnnuity],N$1)</f>
        <v>0</v>
      </c>
      <c r="O53" s="236"/>
    </row>
    <row r="54" spans="1:15" x14ac:dyDescent="0.25">
      <c r="D54" s="236"/>
      <c r="E54" s="236"/>
      <c r="F54" s="236"/>
      <c r="G54" s="242" t="s">
        <v>372</v>
      </c>
      <c r="H54" s="242"/>
      <c r="I54" s="242"/>
      <c r="J54" s="242"/>
      <c r="K54" s="246"/>
      <c r="L54" s="267">
        <f>L53-$K53</f>
        <v>0</v>
      </c>
      <c r="M54" s="266"/>
      <c r="N54" s="267">
        <f>N53-$K53</f>
        <v>0</v>
      </c>
      <c r="O54" s="236"/>
    </row>
    <row r="55" spans="1:15" x14ac:dyDescent="0.25">
      <c r="D55" s="236"/>
      <c r="E55" s="236"/>
      <c r="F55" s="236"/>
      <c r="G55" s="242"/>
      <c r="H55" s="242"/>
      <c r="I55" s="242"/>
      <c r="J55" s="242"/>
      <c r="K55" s="246"/>
      <c r="L55" s="246"/>
      <c r="M55" s="246"/>
      <c r="N55" s="246"/>
      <c r="O55" s="236"/>
    </row>
    <row r="56" spans="1:15" hidden="1" x14ac:dyDescent="0.25">
      <c r="D56" s="236"/>
      <c r="E56" s="236"/>
      <c r="F56" s="236"/>
      <c r="G56" s="242" t="s">
        <v>364</v>
      </c>
      <c r="H56" s="242"/>
      <c r="I56" s="242"/>
      <c r="J56" s="242"/>
      <c r="K56" s="251"/>
      <c r="L56" s="268">
        <f>IF(INDEX(tblSimulationOutcomes[[ContrExit::RepRateNomAnnuity]:[ContrExit::RepRateNomAnnuity]],L$1)=0,INDEX(tblSimulationOutcomes[[Contr::RepRateNomAnnuity]:[Contr::RepRateNomAnnuity]],L$1), "-")</f>
        <v>0</v>
      </c>
      <c r="M56" s="269"/>
      <c r="N56" s="268">
        <f>IF(INDEX(tblSimulationOutcomes[[ContrExit::RepRateNomAnnuity]:[ContrExit::RepRateNomAnnuity]],N$1)=0,INDEX(tblSimulationOutcomes[[Contr::RepRateNomAnnuity]:[Contr::RepRateNomAnnuity]],N$1), "-")</f>
        <v>0</v>
      </c>
      <c r="O56" s="236"/>
    </row>
    <row r="57" spans="1:15" hidden="1" x14ac:dyDescent="0.25">
      <c r="D57" s="236"/>
      <c r="E57" s="236"/>
      <c r="F57" s="236"/>
      <c r="G57" s="242" t="s">
        <v>365</v>
      </c>
      <c r="H57" s="242"/>
      <c r="I57" s="242"/>
      <c r="J57" s="242"/>
      <c r="K57" s="251"/>
      <c r="L57" s="250">
        <f>IF(INDEX(tblSimulationOutcomes[[PAExit::RepRateNomAnnuity]:[PAExit::RepRateNomAnnuity]],L$1)=0,ROUND(12*INDEX(tblSimulationOutcomes[[PA::RepRateNomAnnuity]:[PA::RepRateNomAnnuity]],L$1),0), "-")</f>
        <v>0</v>
      </c>
      <c r="M57" s="251"/>
      <c r="N57" s="250">
        <f>IF(INDEX(tblSimulationOutcomes[[PAExit::RepRateNomAnnuity]:[PAExit::RepRateNomAnnuity]],N$1)=0,ROUND(12*INDEX(tblSimulationOutcomes[[PA::RepRateNomAnnuity]:[PA::RepRateNomAnnuity]],N$1),0), "-")</f>
        <v>0</v>
      </c>
      <c r="O57" s="236"/>
    </row>
    <row r="58" spans="1:15" hidden="1" x14ac:dyDescent="0.25">
      <c r="D58" s="236"/>
      <c r="E58" s="236"/>
      <c r="F58" s="236"/>
      <c r="G58" s="236"/>
      <c r="H58" s="236"/>
      <c r="I58" s="236"/>
      <c r="J58" s="242"/>
      <c r="K58" s="246"/>
      <c r="L58" s="246"/>
      <c r="M58" s="246"/>
      <c r="N58" s="246"/>
      <c r="O58" s="236"/>
    </row>
    <row r="59" spans="1:15" s="271" customFormat="1" x14ac:dyDescent="0.25">
      <c r="A59" s="270"/>
      <c r="B59" s="270"/>
      <c r="D59" s="272"/>
      <c r="E59" s="236"/>
      <c r="F59" s="259" t="s">
        <v>353</v>
      </c>
      <c r="G59" s="236"/>
      <c r="H59" s="236"/>
      <c r="I59" s="236"/>
      <c r="J59" s="236"/>
      <c r="K59" s="236"/>
      <c r="L59" s="236"/>
      <c r="M59" s="236"/>
      <c r="N59" s="236"/>
      <c r="O59" s="272"/>
    </row>
    <row r="60" spans="1:15" x14ac:dyDescent="0.25">
      <c r="D60" s="236"/>
      <c r="E60" s="236"/>
      <c r="F60" s="236"/>
      <c r="G60" s="236" t="s">
        <v>370</v>
      </c>
      <c r="H60" s="236"/>
      <c r="I60" s="236"/>
      <c r="J60" s="236"/>
      <c r="K60" s="265">
        <f>INDEX(tblSimulationOutcomes[Val::RepRateRealAnnuity],K$1)</f>
        <v>0</v>
      </c>
      <c r="L60" s="265">
        <f>INDEX(tblSimulationOutcomes[Val::RepRateRealAnnuity],L$1)</f>
        <v>0</v>
      </c>
      <c r="M60" s="266"/>
      <c r="N60" s="265">
        <f>INDEX(tblSimulationOutcomes[Val::RepRateRealAnnuity],N$1)</f>
        <v>0</v>
      </c>
      <c r="O60" s="236"/>
    </row>
    <row r="61" spans="1:15" x14ac:dyDescent="0.25">
      <c r="D61" s="236"/>
      <c r="E61" s="236"/>
      <c r="F61" s="236"/>
      <c r="G61" s="242" t="s">
        <v>372</v>
      </c>
      <c r="H61" s="242"/>
      <c r="I61" s="242"/>
      <c r="J61" s="242"/>
      <c r="K61" s="246"/>
      <c r="L61" s="267">
        <f>L60-$K60</f>
        <v>0</v>
      </c>
      <c r="M61" s="266"/>
      <c r="N61" s="267">
        <f>N60-$K60</f>
        <v>0</v>
      </c>
      <c r="O61" s="236"/>
    </row>
    <row r="62" spans="1:15" x14ac:dyDescent="0.25">
      <c r="D62" s="236"/>
      <c r="E62" s="236"/>
      <c r="F62" s="236"/>
      <c r="G62" s="242"/>
      <c r="H62" s="242"/>
      <c r="I62" s="242"/>
      <c r="J62" s="242"/>
      <c r="K62" s="246"/>
      <c r="L62" s="246"/>
      <c r="M62" s="246"/>
      <c r="N62" s="246"/>
      <c r="O62" s="236"/>
    </row>
    <row r="63" spans="1:15" hidden="1" x14ac:dyDescent="0.25">
      <c r="D63" s="236"/>
      <c r="E63" s="236"/>
      <c r="F63" s="236"/>
      <c r="G63" s="242" t="s">
        <v>364</v>
      </c>
      <c r="H63" s="242"/>
      <c r="I63" s="242"/>
      <c r="J63" s="242"/>
      <c r="K63" s="251"/>
      <c r="L63" s="256">
        <f>IF(INDEX(tblSimulationOutcomes[[ContrExit::RepRateRealAnnuity]:[ContrExit::RepRateRealAnnuity]],L$1)=0,INDEX(tblSimulationOutcomes[[Contr::RepRateRealAnnuity]:[Contr::RepRateRealAnnuity]],L$1), "-")</f>
        <v>0</v>
      </c>
      <c r="M63" s="257"/>
      <c r="N63" s="256">
        <f>IF(INDEX(tblSimulationOutcomes[[ContrExit::RepRateRealAnnuity]:[ContrExit::RepRateRealAnnuity]],N$1)=0,INDEX(tblSimulationOutcomes[[Contr::RepRateRealAnnuity]:[Contr::RepRateRealAnnuity]],N$1), "-")</f>
        <v>0</v>
      </c>
      <c r="O63" s="236"/>
    </row>
    <row r="64" spans="1:15" hidden="1" x14ac:dyDescent="0.25">
      <c r="D64" s="236"/>
      <c r="E64" s="236"/>
      <c r="F64" s="236"/>
      <c r="G64" s="242" t="s">
        <v>365</v>
      </c>
      <c r="H64" s="242"/>
      <c r="I64" s="242"/>
      <c r="J64" s="242"/>
      <c r="K64" s="251"/>
      <c r="L64" s="250">
        <f>IF(INDEX(tblSimulationOutcomes[[PAExit::RepRateRealAnnuity]:[PAExit::RepRateRealAnnuity]],L$1)=0,ROUND(12*INDEX(tblSimulationOutcomes[[PA::RepRateRealAnnuity]:[PA::RepRateRealAnnuity]],L$1),0), "-")</f>
        <v>0</v>
      </c>
      <c r="M64" s="251"/>
      <c r="N64" s="250">
        <f>IF(INDEX(tblSimulationOutcomes[[PAExit::RepRateRealAnnuity]:[PAExit::RepRateRealAnnuity]],N$1)=0,ROUND(12*INDEX(tblSimulationOutcomes[[PA::RepRateRealAnnuity]:[PA::RepRateRealAnnuity]],N$1),0), "-")</f>
        <v>0</v>
      </c>
      <c r="O64" s="236"/>
    </row>
    <row r="65" spans="4:15" hidden="1" x14ac:dyDescent="0.25">
      <c r="D65" s="236"/>
      <c r="E65" s="236"/>
      <c r="F65" s="236"/>
      <c r="G65" s="236"/>
      <c r="H65" s="236"/>
      <c r="I65" s="236"/>
      <c r="J65" s="236"/>
      <c r="K65" s="236"/>
      <c r="L65" s="236"/>
      <c r="M65" s="236"/>
      <c r="N65" s="236"/>
      <c r="O65" s="236"/>
    </row>
    <row r="66" spans="4:15" x14ac:dyDescent="0.25">
      <c r="D66" s="236"/>
      <c r="E66" s="236"/>
      <c r="F66" s="259" t="s">
        <v>255</v>
      </c>
      <c r="G66" s="236"/>
      <c r="H66" s="236"/>
      <c r="I66" s="236"/>
      <c r="J66" s="236"/>
      <c r="K66" s="236"/>
      <c r="L66" s="236"/>
      <c r="M66" s="236"/>
      <c r="N66" s="236"/>
      <c r="O66" s="236"/>
    </row>
    <row r="67" spans="4:15" x14ac:dyDescent="0.25">
      <c r="D67" s="236"/>
      <c r="E67" s="236"/>
      <c r="F67" s="236"/>
      <c r="G67" s="236" t="s">
        <v>370</v>
      </c>
      <c r="H67" s="236"/>
      <c r="I67" s="236"/>
      <c r="J67" s="236"/>
      <c r="K67" s="265">
        <f>INDEX(tblSimulationOutcomes[Val::RepRateNomDD],K$1)</f>
        <v>0</v>
      </c>
      <c r="L67" s="265">
        <f>INDEX(tblSimulationOutcomes[Val::RepRateNomDD],L$1)</f>
        <v>0</v>
      </c>
      <c r="M67" s="266"/>
      <c r="N67" s="265">
        <f>INDEX(tblSimulationOutcomes[Val::RepRateNomDD],N$1)</f>
        <v>0</v>
      </c>
      <c r="O67" s="236"/>
    </row>
    <row r="68" spans="4:15" x14ac:dyDescent="0.25">
      <c r="D68" s="236"/>
      <c r="E68" s="236"/>
      <c r="F68" s="236"/>
      <c r="G68" s="242" t="s">
        <v>372</v>
      </c>
      <c r="H68" s="242"/>
      <c r="I68" s="242"/>
      <c r="J68" s="242"/>
      <c r="K68" s="246"/>
      <c r="L68" s="267">
        <f>L67-$K67</f>
        <v>0</v>
      </c>
      <c r="M68" s="266"/>
      <c r="N68" s="267">
        <f>N67-$K67</f>
        <v>0</v>
      </c>
      <c r="O68" s="236"/>
    </row>
    <row r="69" spans="4:15" x14ac:dyDescent="0.25">
      <c r="D69" s="236"/>
      <c r="E69" s="236"/>
      <c r="F69" s="236"/>
      <c r="G69" s="242"/>
      <c r="H69" s="242"/>
      <c r="I69" s="242"/>
      <c r="J69" s="242"/>
      <c r="K69" s="246"/>
      <c r="L69" s="246"/>
      <c r="M69" s="246"/>
      <c r="N69" s="246"/>
      <c r="O69" s="236"/>
    </row>
    <row r="70" spans="4:15" hidden="1" x14ac:dyDescent="0.25">
      <c r="D70" s="236"/>
      <c r="E70" s="236"/>
      <c r="F70" s="236"/>
      <c r="G70" s="242" t="s">
        <v>364</v>
      </c>
      <c r="H70" s="242"/>
      <c r="I70" s="242"/>
      <c r="J70" s="242"/>
      <c r="K70" s="251"/>
      <c r="L70" s="256">
        <f>IF(INDEX(tblSimulationOutcomes[[ContrExit::RepRateNomDD]:[ContrExit::RepRateNomDD]],L$1)=0,INDEX(tblSimulationOutcomes[[Contr::RepRateNomDD]:[Contr::RepRateNomDD]],L$1), "-")</f>
        <v>0</v>
      </c>
      <c r="M70" s="257"/>
      <c r="N70" s="256">
        <f>IF(INDEX(tblSimulationOutcomes[[ContrExit::RepRateNomDD]:[ContrExit::RepRateNomDD]],N$1)=0,INDEX(tblSimulationOutcomes[[Contr::RepRateNomDD]:[Contr::RepRateNomDD]],N$1), "-")</f>
        <v>0</v>
      </c>
      <c r="O70" s="236"/>
    </row>
    <row r="71" spans="4:15" hidden="1" x14ac:dyDescent="0.25">
      <c r="D71" s="236"/>
      <c r="E71" s="236"/>
      <c r="F71" s="236"/>
      <c r="G71" s="242" t="s">
        <v>365</v>
      </c>
      <c r="H71" s="242"/>
      <c r="I71" s="242"/>
      <c r="J71" s="242"/>
      <c r="K71" s="251"/>
      <c r="L71" s="250">
        <f>IF(INDEX(tblSimulationOutcomes[[PAExit::RepRateNomDD]:[PAExit::RepRateNomDD]],L$1)=0,ROUND(12*INDEX(tblSimulationOutcomes[[PA::RepRateNomDD]:[PA::RepRateNomDD]],L$1),0), "-")</f>
        <v>0</v>
      </c>
      <c r="M71" s="251"/>
      <c r="N71" s="250">
        <f>IF(INDEX(tblSimulationOutcomes[[PAExit::PensionIncRealAnnuity]:[PAExit::PensionIncRealAnnuity]],N$1)=0,ROUND(12*INDEX(tblSimulationOutcomes[[PA::PensionIncRealAnnuity]:[PA::PensionIncRealAnnuity]],N$1),0), "-")</f>
        <v>0</v>
      </c>
      <c r="O71" s="236"/>
    </row>
    <row r="72" spans="4:15" hidden="1" x14ac:dyDescent="0.25">
      <c r="D72" s="236"/>
      <c r="E72" s="236"/>
      <c r="F72" s="236"/>
      <c r="G72" s="236"/>
      <c r="H72" s="236"/>
      <c r="I72" s="236"/>
      <c r="J72" s="236"/>
      <c r="K72" s="236"/>
      <c r="L72" s="236"/>
      <c r="M72" s="236"/>
      <c r="N72" s="236"/>
      <c r="O72" s="236"/>
    </row>
    <row r="73" spans="4:15" x14ac:dyDescent="0.25">
      <c r="D73" s="233"/>
      <c r="E73" s="233"/>
      <c r="F73" s="233"/>
      <c r="G73" s="233"/>
      <c r="H73" s="233"/>
      <c r="I73" s="233"/>
      <c r="J73" s="233"/>
      <c r="K73" s="233"/>
      <c r="L73" s="233"/>
      <c r="M73" s="233"/>
      <c r="N73" s="233"/>
      <c r="O73" s="233"/>
    </row>
    <row r="75" spans="4:15" x14ac:dyDescent="0.25">
      <c r="K75" s="273"/>
    </row>
    <row r="76" spans="4:15" ht="45" customHeight="1" x14ac:dyDescent="0.25"/>
    <row r="77" spans="4:15" x14ac:dyDescent="0.25">
      <c r="L77" s="274"/>
    </row>
    <row r="93" spans="6:31" ht="18.75" x14ac:dyDescent="0.3">
      <c r="F93" s="275" t="s">
        <v>135</v>
      </c>
      <c r="G93" s="275"/>
      <c r="H93" s="275"/>
      <c r="I93" s="275"/>
      <c r="J93" s="275"/>
      <c r="L93" s="276" t="s">
        <v>135</v>
      </c>
      <c r="M93" s="236"/>
      <c r="N93" s="236"/>
      <c r="O93" s="236"/>
      <c r="P93" s="236"/>
      <c r="Q93" s="236"/>
      <c r="R93" s="236"/>
      <c r="S93" s="236"/>
      <c r="T93" s="236"/>
      <c r="U93" s="236"/>
      <c r="V93" s="236"/>
      <c r="W93" s="236"/>
      <c r="X93" s="236"/>
      <c r="Y93" s="236"/>
      <c r="Z93" s="236"/>
      <c r="AA93" s="236"/>
      <c r="AB93" s="236"/>
      <c r="AC93" s="236"/>
      <c r="AD93" s="236"/>
      <c r="AE93" s="236"/>
    </row>
    <row r="94" spans="6:31" ht="18.75" x14ac:dyDescent="0.3">
      <c r="F94" s="275" t="s">
        <v>447</v>
      </c>
      <c r="G94" s="275"/>
      <c r="H94" s="275"/>
      <c r="I94" s="275"/>
      <c r="J94" s="275"/>
      <c r="L94" s="276" t="s">
        <v>448</v>
      </c>
      <c r="M94" s="236"/>
      <c r="N94" s="236"/>
      <c r="O94" s="236"/>
      <c r="P94" s="236"/>
      <c r="Q94" s="236"/>
      <c r="R94" s="236"/>
      <c r="S94" s="236"/>
      <c r="T94" s="236"/>
      <c r="U94" s="236"/>
      <c r="V94" s="236"/>
      <c r="W94" s="236"/>
      <c r="X94" s="236"/>
      <c r="Y94" s="236"/>
      <c r="Z94" s="236"/>
      <c r="AA94" s="236"/>
      <c r="AB94" s="236"/>
      <c r="AC94" s="236"/>
      <c r="AD94" s="236"/>
      <c r="AE94" s="236"/>
    </row>
    <row r="95" spans="6:31" ht="48.75" x14ac:dyDescent="0.25">
      <c r="F95" s="236" t="s">
        <v>346</v>
      </c>
      <c r="G95" s="252" t="s">
        <v>44</v>
      </c>
      <c r="H95" s="277" t="s">
        <v>265</v>
      </c>
      <c r="I95" s="277" t="s">
        <v>264</v>
      </c>
      <c r="J95" s="277" t="s">
        <v>45</v>
      </c>
      <c r="L95" s="334" t="s">
        <v>541</v>
      </c>
      <c r="M95" s="334" t="s">
        <v>257</v>
      </c>
      <c r="N95" s="334" t="s">
        <v>652</v>
      </c>
      <c r="O95" s="334" t="s">
        <v>262</v>
      </c>
      <c r="P95" s="334" t="s">
        <v>258</v>
      </c>
      <c r="Q95" s="334" t="s">
        <v>259</v>
      </c>
      <c r="R95" s="334" t="s">
        <v>260</v>
      </c>
      <c r="S95" s="334" t="s">
        <v>373</v>
      </c>
      <c r="T95" s="334" t="s">
        <v>650</v>
      </c>
      <c r="U95" s="334" t="s">
        <v>653</v>
      </c>
      <c r="V95" s="334" t="s">
        <v>533</v>
      </c>
      <c r="W95" s="334" t="s">
        <v>534</v>
      </c>
      <c r="X95" s="334" t="s">
        <v>691</v>
      </c>
      <c r="Y95" s="334" t="s">
        <v>692</v>
      </c>
      <c r="Z95" s="334" t="s">
        <v>693</v>
      </c>
      <c r="AA95" s="334" t="s">
        <v>694</v>
      </c>
      <c r="AB95" s="334" t="s">
        <v>695</v>
      </c>
      <c r="AC95" s="334" t="s">
        <v>696</v>
      </c>
      <c r="AD95" s="334" t="s">
        <v>697</v>
      </c>
      <c r="AE95" s="334" t="s">
        <v>266</v>
      </c>
    </row>
    <row r="96" spans="6:31" x14ac:dyDescent="0.25">
      <c r="F96" s="278">
        <f t="shared" ref="F96:F116" si="0">INDEX(ReportYTR,ROW()-ROW(F$95))</f>
        <v>20</v>
      </c>
      <c r="G96" s="279">
        <f>MMULT(INDEX(ReportAssetWeightsBaseline,ROW()-ROW(G$95),1):INDEX(ReportAssetWeightsBaseline,ROW()-ROW(G$95),NumberOfAssets),INT(INDEX(tblAssetMenuSpecs[IsEquities],1):(INDEX(tblAssetMenuSpecs[IsEquities],NumberOfAssets))))</f>
        <v>0</v>
      </c>
      <c r="H96" s="279">
        <f>MMULT(INDEX(ReportAssetWeightsBaseline,ROW()-ROW(H$95),1):INDEX(ReportAssetWeightsBaseline,ROW()-ROW(H$95),NumberOfAssets),INT(INDEX(tblAssetMenuSpecs[IsRealEstate],1):(INDEX(tblAssetMenuSpecs[IsRealEstate],NumberOfAssets))))</f>
        <v>0</v>
      </c>
      <c r="I96" s="279">
        <f>MMULT(INDEX(ReportAssetWeightsBaseline,ROW()-ROW(I$95),1):INDEX(ReportAssetWeightsBaseline,ROW()-ROW(I$95),NumberOfAssets),INT(INDEX(tblAssetMenuSpecs[IsAlternatives],1):(INDEX(tblAssetMenuSpecs[IsAlternatives],NumberOfAssets))))</f>
        <v>0</v>
      </c>
      <c r="J96" s="279">
        <f>MMULT(INDEX(ReportAssetWeightsBaseline,ROW()-ROW(J$95),1):INDEX(ReportAssetWeightsBaseline,ROW()-ROW(J$95),NumberOfAssets),INT(INDEX(tblAssetMenuSpecs[IsFixedIncome],1):(INDEX(tblAssetMenuSpecs[IsFixedIncome],NumberOfAssets))))</f>
        <v>1</v>
      </c>
      <c r="L96" s="280">
        <f>MMULT(INDEX(ReportAssetWeightsBaseline,ROW()-ROW(G$95),1):INDEX(ReportAssetWeightsBaseline,ROW()-ROW(G$95),NumberOfAssets),INT(INDEX(tblAssetMenuSpecs[Is Equities EU],1):(INDEX(tblAssetMenuSpecs[Is Equities EU],NumberOfAssets))))</f>
        <v>0</v>
      </c>
      <c r="M96" s="280">
        <f>MMULT(INDEX(ReportAssetWeightsBaseline,ROW()-ROW(H$95),1):INDEX(ReportAssetWeightsBaseline,ROW()-ROW(H$95),NumberOfAssets),INT(INDEX(tblAssetMenuSpecs[Is Equities US],1):(INDEX(tblAssetMenuSpecs[Is Equities US],NumberOfAssets))))</f>
        <v>0</v>
      </c>
      <c r="N96" s="280">
        <f>MMULT(INDEX(ReportAssetWeightsBaseline,ROW()-ROW(I$95),1):INDEX(ReportAssetWeightsBaseline,ROW()-ROW(I$95),NumberOfAssets),INT(INDEX(tblAssetMenuSpecs[Is Equities Other Developed Markets],1):(INDEX(tblAssetMenuSpecs[Is Equities Other Developed Markets],NumberOfAssets))))</f>
        <v>0</v>
      </c>
      <c r="O96" s="280">
        <f>MMULT(INDEX(ReportAssetWeightsBaseline,ROW()-ROW(J$95),1):INDEX(ReportAssetWeightsBaseline,ROW()-ROW(J$95),NumberOfAssets),INT(INDEX(tblAssetMenuSpecs[Is Equities Emerging Markets],1):(INDEX(tblAssetMenuSpecs[Is Equities Emerging Markets],NumberOfAssets))))</f>
        <v>0</v>
      </c>
      <c r="P96" s="280">
        <f>MMULT(INDEX(ReportAssetWeightsBaseline,ROW()-ROW(K$95),1):INDEX(ReportAssetWeightsBaseline,ROW()-ROW(K$95),NumberOfAssets),INT(INDEX(tblAssetMenuSpecs[Is Commodities],1):(INDEX(tblAssetMenuSpecs[Is Commodities],NumberOfAssets))))</f>
        <v>0</v>
      </c>
      <c r="Q96" s="280">
        <f>MMULT(INDEX(ReportAssetWeightsBaseline,ROW()-ROW(L$95),1):INDEX(ReportAssetWeightsBaseline,ROW()-ROW(L$95),NumberOfAssets),INT(INDEX(tblAssetMenuSpecs[Is Private Equity],1):(INDEX(tblAssetMenuSpecs[Is Private Equity],NumberOfAssets))))</f>
        <v>0</v>
      </c>
      <c r="R96" s="280">
        <f>MMULT(INDEX(ReportAssetWeightsBaseline,ROW()-ROW(M$95),1):INDEX(ReportAssetWeightsBaseline,ROW()-ROW(M$95),NumberOfAssets),INT(INDEX(tblAssetMenuSpecs[Is Hedge Funds],1):(INDEX(tblAssetMenuSpecs[Is Hedge Funds],NumberOfAssets))))</f>
        <v>0</v>
      </c>
      <c r="S96" s="280">
        <f>MMULT(INDEX(ReportAssetWeightsBaseline,ROW()-ROW(N$95),1):INDEX(ReportAssetWeightsBaseline,ROW()-ROW(N$95),NumberOfAssets),INT(INDEX(tblAssetMenuSpecs[Is Real Estate EU],1):(INDEX(tblAssetMenuSpecs[Is Real Estate EU],NumberOfAssets))))</f>
        <v>0</v>
      </c>
      <c r="T96" s="280">
        <f>MMULT(INDEX(ReportAssetWeightsBaseline,ROW()-ROW(O$95),1):INDEX(ReportAssetWeightsBaseline,ROW()-ROW(O$95),NumberOfAssets),INT(INDEX(tblAssetMenuSpecs[Is Real Estate US],1):(INDEX(tblAssetMenuSpecs[Is Real Estate US],NumberOfAssets))))</f>
        <v>0</v>
      </c>
      <c r="U96" s="280">
        <f>MMULT(INDEX(ReportAssetWeightsBaseline,ROW()-ROW(P$95),1):INDEX(ReportAssetWeightsBaseline,ROW()-ROW(P$95),NumberOfAssets),INT(INDEX(tblAssetMenuSpecs[Is Real Estate Other Developed Markets],1):(INDEX(tblAssetMenuSpecs[Is Real Estate Other Developed Markets],NumberOfAssets))))</f>
        <v>0</v>
      </c>
      <c r="V96" s="280">
        <f>MMULT(INDEX(ReportAssetWeightsBaseline,ROW()-ROW(Q$95),1):INDEX(ReportAssetWeightsBaseline,ROW()-ROW(Q$95),NumberOfAssets),INT(INDEX(tblAssetMenuSpecs[Is Real Estate Commercial EU (non-leveraged)],1):(INDEX(tblAssetMenuSpecs[Is Real Estate Commercial EU (non-leveraged)],NumberOfAssets))))</f>
        <v>0</v>
      </c>
      <c r="W96" s="280">
        <f>MMULT(INDEX(ReportAssetWeightsBaseline,ROW()-ROW(P$95),1):INDEX(ReportAssetWeightsBaseline,ROW()-ROW(P$95),NumberOfAssets),INT(INDEX(tblAssetMenuSpecs[Is Real Estate Residential EU (non-leveraged)],1):(INDEX(tblAssetMenuSpecs[Is Real Estate Residential EU (non-leveraged)],NumberOfAssets))))</f>
        <v>0</v>
      </c>
      <c r="X96" s="280">
        <f>MMULT(INDEX(ReportAssetWeightsBaseline,ROW()-ROW(Q$95),1):INDEX(ReportAssetWeightsBaseline,ROW()-ROW(Q$95),NumberOfAssets),INT(INDEX(tblAssetMenuSpecs[Is Government Bond EU],1):(INDEX(tblAssetMenuSpecs[Is Government Bond EU],NumberOfAssets))))</f>
        <v>0</v>
      </c>
      <c r="Y96" s="280">
        <f>MMULT(INDEX(ReportAssetWeightsBaseline,ROW()-ROW(R$95),1):INDEX(ReportAssetWeightsBaseline,ROW()-ROW(R$95),NumberOfAssets),INT(INDEX(tblAssetMenuSpecs[Is Government Bond US],1):(INDEX(tblAssetMenuSpecs[Is Government Bond US],NumberOfAssets))))</f>
        <v>0</v>
      </c>
      <c r="Z96" s="280">
        <f>MMULT(INDEX(ReportAssetWeightsBaseline,ROW()-ROW(S$95),1):INDEX(ReportAssetWeightsBaseline,ROW()-ROW(S$95),NumberOfAssets),INT(INDEX(tblAssetMenuSpecs[Is Government Bond Other Developed Markets],1):(INDEX(tblAssetMenuSpecs[Is Government Bond Other Developed Markets],NumberOfAssets))))</f>
        <v>0</v>
      </c>
      <c r="AA96" s="280">
        <f>MMULT(INDEX(ReportAssetWeightsBaseline,ROW()-ROW(T$95),1):INDEX(ReportAssetWeightsBaseline,ROW()-ROW(T$95),NumberOfAssets),INT(INDEX(tblAssetMenuSpecs[Is Government Bond Emerging Markets],1):(INDEX(tblAssetMenuSpecs[Is Government Bond Emerging Markets],NumberOfAssets))))</f>
        <v>0</v>
      </c>
      <c r="AB96" s="280">
        <f>MMULT(INDEX(ReportAssetWeightsBaseline,ROW()-ROW(U$95),1):INDEX(ReportAssetWeightsBaseline,ROW()-ROW(U$95),NumberOfAssets),INT(INDEX(tblAssetMenuSpecs[Is Corporate Bond],1):(INDEX(tblAssetMenuSpecs[Is Corporate Bond],NumberOfAssets))))</f>
        <v>0</v>
      </c>
      <c r="AC96" s="280">
        <f>MMULT(INDEX(ReportAssetWeightsBaseline,ROW()-ROW(V$95),1):INDEX(ReportAssetWeightsBaseline,ROW()-ROW(V$95),NumberOfAssets),INT(INDEX(tblAssetMenuSpecs[Is Corporate Bond Non-Financial],1):(INDEX(tblAssetMenuSpecs[Is Corporate Bond Non-Financial],NumberOfAssets))))</f>
        <v>0</v>
      </c>
      <c r="AD96" s="280">
        <f>MMULT(INDEX(ReportAssetWeightsBaseline,ROW()-ROW(W$95),1):INDEX(ReportAssetWeightsBaseline,ROW()-ROW(W$95),NumberOfAssets),INT(INDEX(tblAssetMenuSpecs[Is Corporate Bond Financial],1):(INDEX(tblAssetMenuSpecs[Is Corporate Bond Financial],NumberOfAssets))))</f>
        <v>0</v>
      </c>
      <c r="AE96" s="280">
        <f>MMULT(INDEX(ReportAssetWeightsBaseline,ROW()-ROW(V$95),1):INDEX(ReportAssetWeightsBaseline,ROW()-ROW(V$95),NumberOfAssets),INT(INDEX(tblAssetMenuSpecs[Is Cash and Deposits],1):(INDEX(tblAssetMenuSpecs[Is Cash and Deposits],NumberOfAssets))))</f>
        <v>1</v>
      </c>
    </row>
    <row r="97" spans="6:31" x14ac:dyDescent="0.25">
      <c r="F97" s="278">
        <f t="shared" si="0"/>
        <v>19</v>
      </c>
      <c r="G97" s="279">
        <f>MMULT(INDEX(ReportAssetWeightsBaseline,ROW()-ROW(G$95),1):INDEX(ReportAssetWeightsBaseline,ROW()-ROW(G$95),NumberOfAssets),INT(INDEX(tblAssetMenuSpecs[IsEquities],1):(INDEX(tblAssetMenuSpecs[IsEquities],NumberOfAssets))))</f>
        <v>0</v>
      </c>
      <c r="H97" s="279">
        <f>MMULT(INDEX(ReportAssetWeightsBaseline,ROW()-ROW(H$95),1):INDEX(ReportAssetWeightsBaseline,ROW()-ROW(H$95),NumberOfAssets),INT(INDEX(tblAssetMenuSpecs[IsRealEstate],1):(INDEX(tblAssetMenuSpecs[IsRealEstate],NumberOfAssets))))</f>
        <v>0</v>
      </c>
      <c r="I97" s="279">
        <f>MMULT(INDEX(ReportAssetWeightsBaseline,ROW()-ROW(I$95),1):INDEX(ReportAssetWeightsBaseline,ROW()-ROW(I$95),NumberOfAssets),INT(INDEX(tblAssetMenuSpecs[IsAlternatives],1):(INDEX(tblAssetMenuSpecs[IsAlternatives],NumberOfAssets))))</f>
        <v>0</v>
      </c>
      <c r="J97" s="279">
        <f>MMULT(INDEX(ReportAssetWeightsBaseline,ROW()-ROW(J$95),1):INDEX(ReportAssetWeightsBaseline,ROW()-ROW(J$95),NumberOfAssets),INT(INDEX(tblAssetMenuSpecs[IsFixedIncome],1):(INDEX(tblAssetMenuSpecs[IsFixedIncome],NumberOfAssets))))</f>
        <v>1</v>
      </c>
      <c r="L97" s="280">
        <f>MMULT(INDEX(ReportAssetWeightsBaseline,ROW()-ROW(G$95),1):INDEX(ReportAssetWeightsBaseline,ROW()-ROW(G$95),NumberOfAssets),INT(INDEX(tblAssetMenuSpecs[Is Equities EU],1):(INDEX(tblAssetMenuSpecs[Is Equities EU],NumberOfAssets))))</f>
        <v>0</v>
      </c>
      <c r="M97" s="280">
        <f>MMULT(INDEX(ReportAssetWeightsBaseline,ROW()-ROW(H$95),1):INDEX(ReportAssetWeightsBaseline,ROW()-ROW(H$95),NumberOfAssets),INT(INDEX(tblAssetMenuSpecs[Is Equities US],1):(INDEX(tblAssetMenuSpecs[Is Equities US],NumberOfAssets))))</f>
        <v>0</v>
      </c>
      <c r="N97" s="280">
        <f>MMULT(INDEX(ReportAssetWeightsBaseline,ROW()-ROW(I$95),1):INDEX(ReportAssetWeightsBaseline,ROW()-ROW(I$95),NumberOfAssets),INT(INDEX(tblAssetMenuSpecs[Is Equities Other Developed Markets],1):(INDEX(tblAssetMenuSpecs[Is Equities Other Developed Markets],NumberOfAssets))))</f>
        <v>0</v>
      </c>
      <c r="O97" s="280">
        <f>MMULT(INDEX(ReportAssetWeightsBaseline,ROW()-ROW(J$95),1):INDEX(ReportAssetWeightsBaseline,ROW()-ROW(J$95),NumberOfAssets),INT(INDEX(tblAssetMenuSpecs[Is Equities Emerging Markets],1):(INDEX(tblAssetMenuSpecs[Is Equities Emerging Markets],NumberOfAssets))))</f>
        <v>0</v>
      </c>
      <c r="P97" s="280">
        <f>MMULT(INDEX(ReportAssetWeightsBaseline,ROW()-ROW(K$95),1):INDEX(ReportAssetWeightsBaseline,ROW()-ROW(K$95),NumberOfAssets),INT(INDEX(tblAssetMenuSpecs[Is Commodities],1):(INDEX(tblAssetMenuSpecs[Is Commodities],NumberOfAssets))))</f>
        <v>0</v>
      </c>
      <c r="Q97" s="280">
        <f>MMULT(INDEX(ReportAssetWeightsBaseline,ROW()-ROW(L$95),1):INDEX(ReportAssetWeightsBaseline,ROW()-ROW(L$95),NumberOfAssets),INT(INDEX(tblAssetMenuSpecs[Is Private Equity],1):(INDEX(tblAssetMenuSpecs[Is Private Equity],NumberOfAssets))))</f>
        <v>0</v>
      </c>
      <c r="R97" s="280">
        <f>MMULT(INDEX(ReportAssetWeightsBaseline,ROW()-ROW(M$95),1):INDEX(ReportAssetWeightsBaseline,ROW()-ROW(M$95),NumberOfAssets),INT(INDEX(tblAssetMenuSpecs[Is Hedge Funds],1):(INDEX(tblAssetMenuSpecs[Is Hedge Funds],NumberOfAssets))))</f>
        <v>0</v>
      </c>
      <c r="S97" s="280">
        <f>MMULT(INDEX(ReportAssetWeightsBaseline,ROW()-ROW(N$95),1):INDEX(ReportAssetWeightsBaseline,ROW()-ROW(N$95),NumberOfAssets),INT(INDEX(tblAssetMenuSpecs[Is Real Estate EU],1):(INDEX(tblAssetMenuSpecs[Is Real Estate EU],NumberOfAssets))))</f>
        <v>0</v>
      </c>
      <c r="T97" s="280">
        <f>MMULT(INDEX(ReportAssetWeightsBaseline,ROW()-ROW(O$95),1):INDEX(ReportAssetWeightsBaseline,ROW()-ROW(O$95),NumberOfAssets),INT(INDEX(tblAssetMenuSpecs[Is Real Estate US],1):(INDEX(tblAssetMenuSpecs[Is Real Estate US],NumberOfAssets))))</f>
        <v>0</v>
      </c>
      <c r="U97" s="280">
        <f>MMULT(INDEX(ReportAssetWeightsBaseline,ROW()-ROW(P$95),1):INDEX(ReportAssetWeightsBaseline,ROW()-ROW(P$95),NumberOfAssets),INT(INDEX(tblAssetMenuSpecs[Is Real Estate Other Developed Markets],1):(INDEX(tblAssetMenuSpecs[Is Real Estate Other Developed Markets],NumberOfAssets))))</f>
        <v>0</v>
      </c>
      <c r="V97" s="280">
        <f>MMULT(INDEX(ReportAssetWeightsBaseline,ROW()-ROW(Q$95),1):INDEX(ReportAssetWeightsBaseline,ROW()-ROW(Q$95),NumberOfAssets),INT(INDEX(tblAssetMenuSpecs[Is Real Estate Commercial EU (non-leveraged)],1):(INDEX(tblAssetMenuSpecs[Is Real Estate Commercial EU (non-leveraged)],NumberOfAssets))))</f>
        <v>0</v>
      </c>
      <c r="W97" s="280">
        <f>MMULT(INDEX(ReportAssetWeightsBaseline,ROW()-ROW(P$95),1):INDEX(ReportAssetWeightsBaseline,ROW()-ROW(P$95),NumberOfAssets),INT(INDEX(tblAssetMenuSpecs[Is Real Estate Residential EU (non-leveraged)],1):(INDEX(tblAssetMenuSpecs[Is Real Estate Residential EU (non-leveraged)],NumberOfAssets))))</f>
        <v>0</v>
      </c>
      <c r="X97" s="280">
        <f>MMULT(INDEX(ReportAssetWeightsBaseline,ROW()-ROW(Q$95),1):INDEX(ReportAssetWeightsBaseline,ROW()-ROW(Q$95),NumberOfAssets),INT(INDEX(tblAssetMenuSpecs[Is Government Bond EU],1):(INDEX(tblAssetMenuSpecs[Is Government Bond EU],NumberOfAssets))))</f>
        <v>0</v>
      </c>
      <c r="Y97" s="280">
        <f>MMULT(INDEX(ReportAssetWeightsBaseline,ROW()-ROW(R$95),1):INDEX(ReportAssetWeightsBaseline,ROW()-ROW(R$95),NumberOfAssets),INT(INDEX(tblAssetMenuSpecs[Is Government Bond US],1):(INDEX(tblAssetMenuSpecs[Is Government Bond US],NumberOfAssets))))</f>
        <v>0</v>
      </c>
      <c r="Z97" s="280">
        <f>MMULT(INDEX(ReportAssetWeightsBaseline,ROW()-ROW(S$95),1):INDEX(ReportAssetWeightsBaseline,ROW()-ROW(S$95),NumberOfAssets),INT(INDEX(tblAssetMenuSpecs[Is Government Bond Other Developed Markets],1):(INDEX(tblAssetMenuSpecs[Is Government Bond Other Developed Markets],NumberOfAssets))))</f>
        <v>0</v>
      </c>
      <c r="AA97" s="280">
        <f>MMULT(INDEX(ReportAssetWeightsBaseline,ROW()-ROW(T$95),1):INDEX(ReportAssetWeightsBaseline,ROW()-ROW(T$95),NumberOfAssets),INT(INDEX(tblAssetMenuSpecs[Is Government Bond Emerging Markets],1):(INDEX(tblAssetMenuSpecs[Is Government Bond Emerging Markets],NumberOfAssets))))</f>
        <v>0</v>
      </c>
      <c r="AB97" s="280">
        <f>MMULT(INDEX(ReportAssetWeightsBaseline,ROW()-ROW(U$95),1):INDEX(ReportAssetWeightsBaseline,ROW()-ROW(U$95),NumberOfAssets),INT(INDEX(tblAssetMenuSpecs[Is Corporate Bond],1):(INDEX(tblAssetMenuSpecs[Is Corporate Bond],NumberOfAssets))))</f>
        <v>0</v>
      </c>
      <c r="AC97" s="280">
        <f>MMULT(INDEX(ReportAssetWeightsBaseline,ROW()-ROW(V$95),1):INDEX(ReportAssetWeightsBaseline,ROW()-ROW(V$95),NumberOfAssets),INT(INDEX(tblAssetMenuSpecs[Is Corporate Bond Non-Financial],1):(INDEX(tblAssetMenuSpecs[Is Corporate Bond Non-Financial],NumberOfAssets))))</f>
        <v>0</v>
      </c>
      <c r="AD97" s="280">
        <f>MMULT(INDEX(ReportAssetWeightsBaseline,ROW()-ROW(W$95),1):INDEX(ReportAssetWeightsBaseline,ROW()-ROW(W$95),NumberOfAssets),INT(INDEX(tblAssetMenuSpecs[Is Corporate Bond Financial],1):(INDEX(tblAssetMenuSpecs[Is Corporate Bond Financial],NumberOfAssets))))</f>
        <v>0</v>
      </c>
      <c r="AE97" s="280">
        <f>MMULT(INDEX(ReportAssetWeightsBaseline,ROW()-ROW(V$95),1):INDEX(ReportAssetWeightsBaseline,ROW()-ROW(V$95),NumberOfAssets),INT(INDEX(tblAssetMenuSpecs[Is Cash and Deposits],1):(INDEX(tblAssetMenuSpecs[Is Cash and Deposits],NumberOfAssets))))</f>
        <v>1</v>
      </c>
    </row>
    <row r="98" spans="6:31" x14ac:dyDescent="0.25">
      <c r="F98" s="278">
        <f t="shared" si="0"/>
        <v>18</v>
      </c>
      <c r="G98" s="279">
        <f>MMULT(INDEX(ReportAssetWeightsBaseline,ROW()-ROW(G$95),1):INDEX(ReportAssetWeightsBaseline,ROW()-ROW(G$95),NumberOfAssets),INT(INDEX(tblAssetMenuSpecs[IsEquities],1):(INDEX(tblAssetMenuSpecs[IsEquities],NumberOfAssets))))</f>
        <v>0</v>
      </c>
      <c r="H98" s="279">
        <f>MMULT(INDEX(ReportAssetWeightsBaseline,ROW()-ROW(H$95),1):INDEX(ReportAssetWeightsBaseline,ROW()-ROW(H$95),NumberOfAssets),INT(INDEX(tblAssetMenuSpecs[IsRealEstate],1):(INDEX(tblAssetMenuSpecs[IsRealEstate],NumberOfAssets))))</f>
        <v>0</v>
      </c>
      <c r="I98" s="279">
        <f>MMULT(INDEX(ReportAssetWeightsBaseline,ROW()-ROW(I$95),1):INDEX(ReportAssetWeightsBaseline,ROW()-ROW(I$95),NumberOfAssets),INT(INDEX(tblAssetMenuSpecs[IsAlternatives],1):(INDEX(tblAssetMenuSpecs[IsAlternatives],NumberOfAssets))))</f>
        <v>0</v>
      </c>
      <c r="J98" s="279">
        <f>MMULT(INDEX(ReportAssetWeightsBaseline,ROW()-ROW(J$95),1):INDEX(ReportAssetWeightsBaseline,ROW()-ROW(J$95),NumberOfAssets),INT(INDEX(tblAssetMenuSpecs[IsFixedIncome],1):(INDEX(tblAssetMenuSpecs[IsFixedIncome],NumberOfAssets))))</f>
        <v>1</v>
      </c>
      <c r="L98" s="280">
        <f>MMULT(INDEX(ReportAssetWeightsBaseline,ROW()-ROW(G$95),1):INDEX(ReportAssetWeightsBaseline,ROW()-ROW(G$95),NumberOfAssets),INT(INDEX(tblAssetMenuSpecs[Is Equities EU],1):(INDEX(tblAssetMenuSpecs[Is Equities EU],NumberOfAssets))))</f>
        <v>0</v>
      </c>
      <c r="M98" s="280">
        <f>MMULT(INDEX(ReportAssetWeightsBaseline,ROW()-ROW(H$95),1):INDEX(ReportAssetWeightsBaseline,ROW()-ROW(H$95),NumberOfAssets),INT(INDEX(tblAssetMenuSpecs[Is Equities US],1):(INDEX(tblAssetMenuSpecs[Is Equities US],NumberOfAssets))))</f>
        <v>0</v>
      </c>
      <c r="N98" s="280">
        <f>MMULT(INDEX(ReportAssetWeightsBaseline,ROW()-ROW(I$95),1):INDEX(ReportAssetWeightsBaseline,ROW()-ROW(I$95),NumberOfAssets),INT(INDEX(tblAssetMenuSpecs[Is Equities Other Developed Markets],1):(INDEX(tblAssetMenuSpecs[Is Equities Other Developed Markets],NumberOfAssets))))</f>
        <v>0</v>
      </c>
      <c r="O98" s="280">
        <f>MMULT(INDEX(ReportAssetWeightsBaseline,ROW()-ROW(J$95),1):INDEX(ReportAssetWeightsBaseline,ROW()-ROW(J$95),NumberOfAssets),INT(INDEX(tblAssetMenuSpecs[Is Equities Emerging Markets],1):(INDEX(tblAssetMenuSpecs[Is Equities Emerging Markets],NumberOfAssets))))</f>
        <v>0</v>
      </c>
      <c r="P98" s="280">
        <f>MMULT(INDEX(ReportAssetWeightsBaseline,ROW()-ROW(K$95),1):INDEX(ReportAssetWeightsBaseline,ROW()-ROW(K$95),NumberOfAssets),INT(INDEX(tblAssetMenuSpecs[Is Commodities],1):(INDEX(tblAssetMenuSpecs[Is Commodities],NumberOfAssets))))</f>
        <v>0</v>
      </c>
      <c r="Q98" s="280">
        <f>MMULT(INDEX(ReportAssetWeightsBaseline,ROW()-ROW(L$95),1):INDEX(ReportAssetWeightsBaseline,ROW()-ROW(L$95),NumberOfAssets),INT(INDEX(tblAssetMenuSpecs[Is Private Equity],1):(INDEX(tblAssetMenuSpecs[Is Private Equity],NumberOfAssets))))</f>
        <v>0</v>
      </c>
      <c r="R98" s="280">
        <f>MMULT(INDEX(ReportAssetWeightsBaseline,ROW()-ROW(M$95),1):INDEX(ReportAssetWeightsBaseline,ROW()-ROW(M$95),NumberOfAssets),INT(INDEX(tblAssetMenuSpecs[Is Hedge Funds],1):(INDEX(tblAssetMenuSpecs[Is Hedge Funds],NumberOfAssets))))</f>
        <v>0</v>
      </c>
      <c r="S98" s="280">
        <f>MMULT(INDEX(ReportAssetWeightsBaseline,ROW()-ROW(N$95),1):INDEX(ReportAssetWeightsBaseline,ROW()-ROW(N$95),NumberOfAssets),INT(INDEX(tblAssetMenuSpecs[Is Real Estate EU],1):(INDEX(tblAssetMenuSpecs[Is Real Estate EU],NumberOfAssets))))</f>
        <v>0</v>
      </c>
      <c r="T98" s="280">
        <f>MMULT(INDEX(ReportAssetWeightsBaseline,ROW()-ROW(O$95),1):INDEX(ReportAssetWeightsBaseline,ROW()-ROW(O$95),NumberOfAssets),INT(INDEX(tblAssetMenuSpecs[Is Real Estate US],1):(INDEX(tblAssetMenuSpecs[Is Real Estate US],NumberOfAssets))))</f>
        <v>0</v>
      </c>
      <c r="U98" s="280">
        <f>MMULT(INDEX(ReportAssetWeightsBaseline,ROW()-ROW(P$95),1):INDEX(ReportAssetWeightsBaseline,ROW()-ROW(P$95),NumberOfAssets),INT(INDEX(tblAssetMenuSpecs[Is Real Estate Other Developed Markets],1):(INDEX(tblAssetMenuSpecs[Is Real Estate Other Developed Markets],NumberOfAssets))))</f>
        <v>0</v>
      </c>
      <c r="V98" s="280">
        <f>MMULT(INDEX(ReportAssetWeightsBaseline,ROW()-ROW(Q$95),1):INDEX(ReportAssetWeightsBaseline,ROW()-ROW(Q$95),NumberOfAssets),INT(INDEX(tblAssetMenuSpecs[Is Real Estate Commercial EU (non-leveraged)],1):(INDEX(tblAssetMenuSpecs[Is Real Estate Commercial EU (non-leveraged)],NumberOfAssets))))</f>
        <v>0</v>
      </c>
      <c r="W98" s="280">
        <f>MMULT(INDEX(ReportAssetWeightsBaseline,ROW()-ROW(P$95),1):INDEX(ReportAssetWeightsBaseline,ROW()-ROW(P$95),NumberOfAssets),INT(INDEX(tblAssetMenuSpecs[Is Real Estate Residential EU (non-leveraged)],1):(INDEX(tblAssetMenuSpecs[Is Real Estate Residential EU (non-leveraged)],NumberOfAssets))))</f>
        <v>0</v>
      </c>
      <c r="X98" s="280">
        <f>MMULT(INDEX(ReportAssetWeightsBaseline,ROW()-ROW(Q$95),1):INDEX(ReportAssetWeightsBaseline,ROW()-ROW(Q$95),NumberOfAssets),INT(INDEX(tblAssetMenuSpecs[Is Government Bond EU],1):(INDEX(tblAssetMenuSpecs[Is Government Bond EU],NumberOfAssets))))</f>
        <v>0</v>
      </c>
      <c r="Y98" s="280">
        <f>MMULT(INDEX(ReportAssetWeightsBaseline,ROW()-ROW(R$95),1):INDEX(ReportAssetWeightsBaseline,ROW()-ROW(R$95),NumberOfAssets),INT(INDEX(tblAssetMenuSpecs[Is Government Bond US],1):(INDEX(tblAssetMenuSpecs[Is Government Bond US],NumberOfAssets))))</f>
        <v>0</v>
      </c>
      <c r="Z98" s="280">
        <f>MMULT(INDEX(ReportAssetWeightsBaseline,ROW()-ROW(S$95),1):INDEX(ReportAssetWeightsBaseline,ROW()-ROW(S$95),NumberOfAssets),INT(INDEX(tblAssetMenuSpecs[Is Government Bond Other Developed Markets],1):(INDEX(tblAssetMenuSpecs[Is Government Bond Other Developed Markets],NumberOfAssets))))</f>
        <v>0</v>
      </c>
      <c r="AA98" s="280">
        <f>MMULT(INDEX(ReportAssetWeightsBaseline,ROW()-ROW(T$95),1):INDEX(ReportAssetWeightsBaseline,ROW()-ROW(T$95),NumberOfAssets),INT(INDEX(tblAssetMenuSpecs[Is Government Bond Emerging Markets],1):(INDEX(tblAssetMenuSpecs[Is Government Bond Emerging Markets],NumberOfAssets))))</f>
        <v>0</v>
      </c>
      <c r="AB98" s="280">
        <f>MMULT(INDEX(ReportAssetWeightsBaseline,ROW()-ROW(U$95),1):INDEX(ReportAssetWeightsBaseline,ROW()-ROW(U$95),NumberOfAssets),INT(INDEX(tblAssetMenuSpecs[Is Corporate Bond],1):(INDEX(tblAssetMenuSpecs[Is Corporate Bond],NumberOfAssets))))</f>
        <v>0</v>
      </c>
      <c r="AC98" s="280">
        <f>MMULT(INDEX(ReportAssetWeightsBaseline,ROW()-ROW(V$95),1):INDEX(ReportAssetWeightsBaseline,ROW()-ROW(V$95),NumberOfAssets),INT(INDEX(tblAssetMenuSpecs[Is Corporate Bond Non-Financial],1):(INDEX(tblAssetMenuSpecs[Is Corporate Bond Non-Financial],NumberOfAssets))))</f>
        <v>0</v>
      </c>
      <c r="AD98" s="280">
        <f>MMULT(INDEX(ReportAssetWeightsBaseline,ROW()-ROW(W$95),1):INDEX(ReportAssetWeightsBaseline,ROW()-ROW(W$95),NumberOfAssets),INT(INDEX(tblAssetMenuSpecs[Is Corporate Bond Financial],1):(INDEX(tblAssetMenuSpecs[Is Corporate Bond Financial],NumberOfAssets))))</f>
        <v>0</v>
      </c>
      <c r="AE98" s="280">
        <f>MMULT(INDEX(ReportAssetWeightsBaseline,ROW()-ROW(V$95),1):INDEX(ReportAssetWeightsBaseline,ROW()-ROW(V$95),NumberOfAssets),INT(INDEX(tblAssetMenuSpecs[Is Cash and Deposits],1):(INDEX(tblAssetMenuSpecs[Is Cash and Deposits],NumberOfAssets))))</f>
        <v>1</v>
      </c>
    </row>
    <row r="99" spans="6:31" x14ac:dyDescent="0.25">
      <c r="F99" s="278">
        <f t="shared" si="0"/>
        <v>17</v>
      </c>
      <c r="G99" s="279">
        <f>MMULT(INDEX(ReportAssetWeightsBaseline,ROW()-ROW(G$95),1):INDEX(ReportAssetWeightsBaseline,ROW()-ROW(G$95),NumberOfAssets),INT(INDEX(tblAssetMenuSpecs[IsEquities],1):(INDEX(tblAssetMenuSpecs[IsEquities],NumberOfAssets))))</f>
        <v>0</v>
      </c>
      <c r="H99" s="279">
        <f>MMULT(INDEX(ReportAssetWeightsBaseline,ROW()-ROW(H$95),1):INDEX(ReportAssetWeightsBaseline,ROW()-ROW(H$95),NumberOfAssets),INT(INDEX(tblAssetMenuSpecs[IsRealEstate],1):(INDEX(tblAssetMenuSpecs[IsRealEstate],NumberOfAssets))))</f>
        <v>0</v>
      </c>
      <c r="I99" s="279">
        <f>MMULT(INDEX(ReportAssetWeightsBaseline,ROW()-ROW(I$95),1):INDEX(ReportAssetWeightsBaseline,ROW()-ROW(I$95),NumberOfAssets),INT(INDEX(tblAssetMenuSpecs[IsAlternatives],1):(INDEX(tblAssetMenuSpecs[IsAlternatives],NumberOfAssets))))</f>
        <v>0</v>
      </c>
      <c r="J99" s="279">
        <f>MMULT(INDEX(ReportAssetWeightsBaseline,ROW()-ROW(J$95),1):INDEX(ReportAssetWeightsBaseline,ROW()-ROW(J$95),NumberOfAssets),INT(INDEX(tblAssetMenuSpecs[IsFixedIncome],1):(INDEX(tblAssetMenuSpecs[IsFixedIncome],NumberOfAssets))))</f>
        <v>1</v>
      </c>
      <c r="L99" s="280">
        <f>MMULT(INDEX(ReportAssetWeightsBaseline,ROW()-ROW(G$95),1):INDEX(ReportAssetWeightsBaseline,ROW()-ROW(G$95),NumberOfAssets),INT(INDEX(tblAssetMenuSpecs[Is Equities EU],1):(INDEX(tblAssetMenuSpecs[Is Equities EU],NumberOfAssets))))</f>
        <v>0</v>
      </c>
      <c r="M99" s="280">
        <f>MMULT(INDEX(ReportAssetWeightsBaseline,ROW()-ROW(H$95),1):INDEX(ReportAssetWeightsBaseline,ROW()-ROW(H$95),NumberOfAssets),INT(INDEX(tblAssetMenuSpecs[Is Equities US],1):(INDEX(tblAssetMenuSpecs[Is Equities US],NumberOfAssets))))</f>
        <v>0</v>
      </c>
      <c r="N99" s="280">
        <f>MMULT(INDEX(ReportAssetWeightsBaseline,ROW()-ROW(I$95),1):INDEX(ReportAssetWeightsBaseline,ROW()-ROW(I$95),NumberOfAssets),INT(INDEX(tblAssetMenuSpecs[Is Equities Other Developed Markets],1):(INDEX(tblAssetMenuSpecs[Is Equities Other Developed Markets],NumberOfAssets))))</f>
        <v>0</v>
      </c>
      <c r="O99" s="280">
        <f>MMULT(INDEX(ReportAssetWeightsBaseline,ROW()-ROW(J$95),1):INDEX(ReportAssetWeightsBaseline,ROW()-ROW(J$95),NumberOfAssets),INT(INDEX(tblAssetMenuSpecs[Is Equities Emerging Markets],1):(INDEX(tblAssetMenuSpecs[Is Equities Emerging Markets],NumberOfAssets))))</f>
        <v>0</v>
      </c>
      <c r="P99" s="280">
        <f>MMULT(INDEX(ReportAssetWeightsBaseline,ROW()-ROW(K$95),1):INDEX(ReportAssetWeightsBaseline,ROW()-ROW(K$95),NumberOfAssets),INT(INDEX(tblAssetMenuSpecs[Is Commodities],1):(INDEX(tblAssetMenuSpecs[Is Commodities],NumberOfAssets))))</f>
        <v>0</v>
      </c>
      <c r="Q99" s="280">
        <f>MMULT(INDEX(ReportAssetWeightsBaseline,ROW()-ROW(L$95),1):INDEX(ReportAssetWeightsBaseline,ROW()-ROW(L$95),NumberOfAssets),INT(INDEX(tblAssetMenuSpecs[Is Private Equity],1):(INDEX(tblAssetMenuSpecs[Is Private Equity],NumberOfAssets))))</f>
        <v>0</v>
      </c>
      <c r="R99" s="280">
        <f>MMULT(INDEX(ReportAssetWeightsBaseline,ROW()-ROW(M$95),1):INDEX(ReportAssetWeightsBaseline,ROW()-ROW(M$95),NumberOfAssets),INT(INDEX(tblAssetMenuSpecs[Is Hedge Funds],1):(INDEX(tblAssetMenuSpecs[Is Hedge Funds],NumberOfAssets))))</f>
        <v>0</v>
      </c>
      <c r="S99" s="280">
        <f>MMULT(INDEX(ReportAssetWeightsBaseline,ROW()-ROW(N$95),1):INDEX(ReportAssetWeightsBaseline,ROW()-ROW(N$95),NumberOfAssets),INT(INDEX(tblAssetMenuSpecs[Is Real Estate EU],1):(INDEX(tblAssetMenuSpecs[Is Real Estate EU],NumberOfAssets))))</f>
        <v>0</v>
      </c>
      <c r="T99" s="280">
        <f>MMULT(INDEX(ReportAssetWeightsBaseline,ROW()-ROW(O$95),1):INDEX(ReportAssetWeightsBaseline,ROW()-ROW(O$95),NumberOfAssets),INT(INDEX(tblAssetMenuSpecs[Is Real Estate US],1):(INDEX(tblAssetMenuSpecs[Is Real Estate US],NumberOfAssets))))</f>
        <v>0</v>
      </c>
      <c r="U99" s="280">
        <f>MMULT(INDEX(ReportAssetWeightsBaseline,ROW()-ROW(P$95),1):INDEX(ReportAssetWeightsBaseline,ROW()-ROW(P$95),NumberOfAssets),INT(INDEX(tblAssetMenuSpecs[Is Real Estate Other Developed Markets],1):(INDEX(tblAssetMenuSpecs[Is Real Estate Other Developed Markets],NumberOfAssets))))</f>
        <v>0</v>
      </c>
      <c r="V99" s="280">
        <f>MMULT(INDEX(ReportAssetWeightsBaseline,ROW()-ROW(Q$95),1):INDEX(ReportAssetWeightsBaseline,ROW()-ROW(Q$95),NumberOfAssets),INT(INDEX(tblAssetMenuSpecs[Is Real Estate Commercial EU (non-leveraged)],1):(INDEX(tblAssetMenuSpecs[Is Real Estate Commercial EU (non-leveraged)],NumberOfAssets))))</f>
        <v>0</v>
      </c>
      <c r="W99" s="280">
        <f>MMULT(INDEX(ReportAssetWeightsBaseline,ROW()-ROW(P$95),1):INDEX(ReportAssetWeightsBaseline,ROW()-ROW(P$95),NumberOfAssets),INT(INDEX(tblAssetMenuSpecs[Is Real Estate Residential EU (non-leveraged)],1):(INDEX(tblAssetMenuSpecs[Is Real Estate Residential EU (non-leveraged)],NumberOfAssets))))</f>
        <v>0</v>
      </c>
      <c r="X99" s="280">
        <f>MMULT(INDEX(ReportAssetWeightsBaseline,ROW()-ROW(Q$95),1):INDEX(ReportAssetWeightsBaseline,ROW()-ROW(Q$95),NumberOfAssets),INT(INDEX(tblAssetMenuSpecs[Is Government Bond EU],1):(INDEX(tblAssetMenuSpecs[Is Government Bond EU],NumberOfAssets))))</f>
        <v>0</v>
      </c>
      <c r="Y99" s="280">
        <f>MMULT(INDEX(ReportAssetWeightsBaseline,ROW()-ROW(R$95),1):INDEX(ReportAssetWeightsBaseline,ROW()-ROW(R$95),NumberOfAssets),INT(INDEX(tblAssetMenuSpecs[Is Government Bond US],1):(INDEX(tblAssetMenuSpecs[Is Government Bond US],NumberOfAssets))))</f>
        <v>0</v>
      </c>
      <c r="Z99" s="280">
        <f>MMULT(INDEX(ReportAssetWeightsBaseline,ROW()-ROW(S$95),1):INDEX(ReportAssetWeightsBaseline,ROW()-ROW(S$95),NumberOfAssets),INT(INDEX(tblAssetMenuSpecs[Is Government Bond Other Developed Markets],1):(INDEX(tblAssetMenuSpecs[Is Government Bond Other Developed Markets],NumberOfAssets))))</f>
        <v>0</v>
      </c>
      <c r="AA99" s="280">
        <f>MMULT(INDEX(ReportAssetWeightsBaseline,ROW()-ROW(T$95),1):INDEX(ReportAssetWeightsBaseline,ROW()-ROW(T$95),NumberOfAssets),INT(INDEX(tblAssetMenuSpecs[Is Government Bond Emerging Markets],1):(INDEX(tblAssetMenuSpecs[Is Government Bond Emerging Markets],NumberOfAssets))))</f>
        <v>0</v>
      </c>
      <c r="AB99" s="280">
        <f>MMULT(INDEX(ReportAssetWeightsBaseline,ROW()-ROW(U$95),1):INDEX(ReportAssetWeightsBaseline,ROW()-ROW(U$95),NumberOfAssets),INT(INDEX(tblAssetMenuSpecs[Is Corporate Bond],1):(INDEX(tblAssetMenuSpecs[Is Corporate Bond],NumberOfAssets))))</f>
        <v>0</v>
      </c>
      <c r="AC99" s="280">
        <f>MMULT(INDEX(ReportAssetWeightsBaseline,ROW()-ROW(V$95),1):INDEX(ReportAssetWeightsBaseline,ROW()-ROW(V$95),NumberOfAssets),INT(INDEX(tblAssetMenuSpecs[Is Corporate Bond Non-Financial],1):(INDEX(tblAssetMenuSpecs[Is Corporate Bond Non-Financial],NumberOfAssets))))</f>
        <v>0</v>
      </c>
      <c r="AD99" s="280">
        <f>MMULT(INDEX(ReportAssetWeightsBaseline,ROW()-ROW(W$95),1):INDEX(ReportAssetWeightsBaseline,ROW()-ROW(W$95),NumberOfAssets),INT(INDEX(tblAssetMenuSpecs[Is Corporate Bond Financial],1):(INDEX(tblAssetMenuSpecs[Is Corporate Bond Financial],NumberOfAssets))))</f>
        <v>0</v>
      </c>
      <c r="AE99" s="280">
        <f>MMULT(INDEX(ReportAssetWeightsBaseline,ROW()-ROW(V$95),1):INDEX(ReportAssetWeightsBaseline,ROW()-ROW(V$95),NumberOfAssets),INT(INDEX(tblAssetMenuSpecs[Is Cash and Deposits],1):(INDEX(tblAssetMenuSpecs[Is Cash and Deposits],NumberOfAssets))))</f>
        <v>1</v>
      </c>
    </row>
    <row r="100" spans="6:31" x14ac:dyDescent="0.25">
      <c r="F100" s="278">
        <f t="shared" si="0"/>
        <v>16</v>
      </c>
      <c r="G100" s="279">
        <f>MMULT(INDEX(ReportAssetWeightsBaseline,ROW()-ROW(G$95),1):INDEX(ReportAssetWeightsBaseline,ROW()-ROW(G$95),NumberOfAssets),INT(INDEX(tblAssetMenuSpecs[IsEquities],1):(INDEX(tblAssetMenuSpecs[IsEquities],NumberOfAssets))))</f>
        <v>0</v>
      </c>
      <c r="H100" s="279">
        <f>MMULT(INDEX(ReportAssetWeightsBaseline,ROW()-ROW(H$95),1):INDEX(ReportAssetWeightsBaseline,ROW()-ROW(H$95),NumberOfAssets),INT(INDEX(tblAssetMenuSpecs[IsRealEstate],1):(INDEX(tblAssetMenuSpecs[IsRealEstate],NumberOfAssets))))</f>
        <v>0</v>
      </c>
      <c r="I100" s="279">
        <f>MMULT(INDEX(ReportAssetWeightsBaseline,ROW()-ROW(I$95),1):INDEX(ReportAssetWeightsBaseline,ROW()-ROW(I$95),NumberOfAssets),INT(INDEX(tblAssetMenuSpecs[IsAlternatives],1):(INDEX(tblAssetMenuSpecs[IsAlternatives],NumberOfAssets))))</f>
        <v>0</v>
      </c>
      <c r="J100" s="279">
        <f>MMULT(INDEX(ReportAssetWeightsBaseline,ROW()-ROW(J$95),1):INDEX(ReportAssetWeightsBaseline,ROW()-ROW(J$95),NumberOfAssets),INT(INDEX(tblAssetMenuSpecs[IsFixedIncome],1):(INDEX(tblAssetMenuSpecs[IsFixedIncome],NumberOfAssets))))</f>
        <v>1</v>
      </c>
      <c r="L100" s="280">
        <f>MMULT(INDEX(ReportAssetWeightsBaseline,ROW()-ROW(G$95),1):INDEX(ReportAssetWeightsBaseline,ROW()-ROW(G$95),NumberOfAssets),INT(INDEX(tblAssetMenuSpecs[Is Equities EU],1):(INDEX(tblAssetMenuSpecs[Is Equities EU],NumberOfAssets))))</f>
        <v>0</v>
      </c>
      <c r="M100" s="280">
        <f>MMULT(INDEX(ReportAssetWeightsBaseline,ROW()-ROW(H$95),1):INDEX(ReportAssetWeightsBaseline,ROW()-ROW(H$95),NumberOfAssets),INT(INDEX(tblAssetMenuSpecs[Is Equities US],1):(INDEX(tblAssetMenuSpecs[Is Equities US],NumberOfAssets))))</f>
        <v>0</v>
      </c>
      <c r="N100" s="280">
        <f>MMULT(INDEX(ReportAssetWeightsBaseline,ROW()-ROW(I$95),1):INDEX(ReportAssetWeightsBaseline,ROW()-ROW(I$95),NumberOfAssets),INT(INDEX(tblAssetMenuSpecs[Is Equities Other Developed Markets],1):(INDEX(tblAssetMenuSpecs[Is Equities Other Developed Markets],NumberOfAssets))))</f>
        <v>0</v>
      </c>
      <c r="O100" s="280">
        <f>MMULT(INDEX(ReportAssetWeightsBaseline,ROW()-ROW(J$95),1):INDEX(ReportAssetWeightsBaseline,ROW()-ROW(J$95),NumberOfAssets),INT(INDEX(tblAssetMenuSpecs[Is Equities Emerging Markets],1):(INDEX(tblAssetMenuSpecs[Is Equities Emerging Markets],NumberOfAssets))))</f>
        <v>0</v>
      </c>
      <c r="P100" s="280">
        <f>MMULT(INDEX(ReportAssetWeightsBaseline,ROW()-ROW(K$95),1):INDEX(ReportAssetWeightsBaseline,ROW()-ROW(K$95),NumberOfAssets),INT(INDEX(tblAssetMenuSpecs[Is Commodities],1):(INDEX(tblAssetMenuSpecs[Is Commodities],NumberOfAssets))))</f>
        <v>0</v>
      </c>
      <c r="Q100" s="280">
        <f>MMULT(INDEX(ReportAssetWeightsBaseline,ROW()-ROW(L$95),1):INDEX(ReportAssetWeightsBaseline,ROW()-ROW(L$95),NumberOfAssets),INT(INDEX(tblAssetMenuSpecs[Is Private Equity],1):(INDEX(tblAssetMenuSpecs[Is Private Equity],NumberOfAssets))))</f>
        <v>0</v>
      </c>
      <c r="R100" s="280">
        <f>MMULT(INDEX(ReportAssetWeightsBaseline,ROW()-ROW(M$95),1):INDEX(ReportAssetWeightsBaseline,ROW()-ROW(M$95),NumberOfAssets),INT(INDEX(tblAssetMenuSpecs[Is Hedge Funds],1):(INDEX(tblAssetMenuSpecs[Is Hedge Funds],NumberOfAssets))))</f>
        <v>0</v>
      </c>
      <c r="S100" s="280">
        <f>MMULT(INDEX(ReportAssetWeightsBaseline,ROW()-ROW(N$95),1):INDEX(ReportAssetWeightsBaseline,ROW()-ROW(N$95),NumberOfAssets),INT(INDEX(tblAssetMenuSpecs[Is Real Estate EU],1):(INDEX(tblAssetMenuSpecs[Is Real Estate EU],NumberOfAssets))))</f>
        <v>0</v>
      </c>
      <c r="T100" s="280">
        <f>MMULT(INDEX(ReportAssetWeightsBaseline,ROW()-ROW(O$95),1):INDEX(ReportAssetWeightsBaseline,ROW()-ROW(O$95),NumberOfAssets),INT(INDEX(tblAssetMenuSpecs[Is Real Estate US],1):(INDEX(tblAssetMenuSpecs[Is Real Estate US],NumberOfAssets))))</f>
        <v>0</v>
      </c>
      <c r="U100" s="280">
        <f>MMULT(INDEX(ReportAssetWeightsBaseline,ROW()-ROW(P$95),1):INDEX(ReportAssetWeightsBaseline,ROW()-ROW(P$95),NumberOfAssets),INT(INDEX(tblAssetMenuSpecs[Is Real Estate Other Developed Markets],1):(INDEX(tblAssetMenuSpecs[Is Real Estate Other Developed Markets],NumberOfAssets))))</f>
        <v>0</v>
      </c>
      <c r="V100" s="280">
        <f>MMULT(INDEX(ReportAssetWeightsBaseline,ROW()-ROW(Q$95),1):INDEX(ReportAssetWeightsBaseline,ROW()-ROW(Q$95),NumberOfAssets),INT(INDEX(tblAssetMenuSpecs[Is Real Estate Commercial EU (non-leveraged)],1):(INDEX(tblAssetMenuSpecs[Is Real Estate Commercial EU (non-leveraged)],NumberOfAssets))))</f>
        <v>0</v>
      </c>
      <c r="W100" s="280">
        <f>MMULT(INDEX(ReportAssetWeightsBaseline,ROW()-ROW(P$95),1):INDEX(ReportAssetWeightsBaseline,ROW()-ROW(P$95),NumberOfAssets),INT(INDEX(tblAssetMenuSpecs[Is Real Estate Residential EU (non-leveraged)],1):(INDEX(tblAssetMenuSpecs[Is Real Estate Residential EU (non-leveraged)],NumberOfAssets))))</f>
        <v>0</v>
      </c>
      <c r="X100" s="280">
        <f>MMULT(INDEX(ReportAssetWeightsBaseline,ROW()-ROW(Q$95),1):INDEX(ReportAssetWeightsBaseline,ROW()-ROW(Q$95),NumberOfAssets),INT(INDEX(tblAssetMenuSpecs[Is Government Bond EU],1):(INDEX(tblAssetMenuSpecs[Is Government Bond EU],NumberOfAssets))))</f>
        <v>0</v>
      </c>
      <c r="Y100" s="280">
        <f>MMULT(INDEX(ReportAssetWeightsBaseline,ROW()-ROW(R$95),1):INDEX(ReportAssetWeightsBaseline,ROW()-ROW(R$95),NumberOfAssets),INT(INDEX(tblAssetMenuSpecs[Is Government Bond US],1):(INDEX(tblAssetMenuSpecs[Is Government Bond US],NumberOfAssets))))</f>
        <v>0</v>
      </c>
      <c r="Z100" s="280">
        <f>MMULT(INDEX(ReportAssetWeightsBaseline,ROW()-ROW(S$95),1):INDEX(ReportAssetWeightsBaseline,ROW()-ROW(S$95),NumberOfAssets),INT(INDEX(tblAssetMenuSpecs[Is Government Bond Other Developed Markets],1):(INDEX(tblAssetMenuSpecs[Is Government Bond Other Developed Markets],NumberOfAssets))))</f>
        <v>0</v>
      </c>
      <c r="AA100" s="280">
        <f>MMULT(INDEX(ReportAssetWeightsBaseline,ROW()-ROW(T$95),1):INDEX(ReportAssetWeightsBaseline,ROW()-ROW(T$95),NumberOfAssets),INT(INDEX(tblAssetMenuSpecs[Is Government Bond Emerging Markets],1):(INDEX(tblAssetMenuSpecs[Is Government Bond Emerging Markets],NumberOfAssets))))</f>
        <v>0</v>
      </c>
      <c r="AB100" s="280">
        <f>MMULT(INDEX(ReportAssetWeightsBaseline,ROW()-ROW(U$95),1):INDEX(ReportAssetWeightsBaseline,ROW()-ROW(U$95),NumberOfAssets),INT(INDEX(tblAssetMenuSpecs[Is Corporate Bond],1):(INDEX(tblAssetMenuSpecs[Is Corporate Bond],NumberOfAssets))))</f>
        <v>0</v>
      </c>
      <c r="AC100" s="280">
        <f>MMULT(INDEX(ReportAssetWeightsBaseline,ROW()-ROW(V$95),1):INDEX(ReportAssetWeightsBaseline,ROW()-ROW(V$95),NumberOfAssets),INT(INDEX(tblAssetMenuSpecs[Is Corporate Bond Non-Financial],1):(INDEX(tblAssetMenuSpecs[Is Corporate Bond Non-Financial],NumberOfAssets))))</f>
        <v>0</v>
      </c>
      <c r="AD100" s="280">
        <f>MMULT(INDEX(ReportAssetWeightsBaseline,ROW()-ROW(W$95),1):INDEX(ReportAssetWeightsBaseline,ROW()-ROW(W$95),NumberOfAssets),INT(INDEX(tblAssetMenuSpecs[Is Corporate Bond Financial],1):(INDEX(tblAssetMenuSpecs[Is Corporate Bond Financial],NumberOfAssets))))</f>
        <v>0</v>
      </c>
      <c r="AE100" s="280">
        <f>MMULT(INDEX(ReportAssetWeightsBaseline,ROW()-ROW(V$95),1):INDEX(ReportAssetWeightsBaseline,ROW()-ROW(V$95),NumberOfAssets),INT(INDEX(tblAssetMenuSpecs[Is Cash and Deposits],1):(INDEX(tblAssetMenuSpecs[Is Cash and Deposits],NumberOfAssets))))</f>
        <v>1</v>
      </c>
    </row>
    <row r="101" spans="6:31" x14ac:dyDescent="0.25">
      <c r="F101" s="278">
        <f t="shared" si="0"/>
        <v>15</v>
      </c>
      <c r="G101" s="279">
        <f>MMULT(INDEX(ReportAssetWeightsBaseline,ROW()-ROW(G$95),1):INDEX(ReportAssetWeightsBaseline,ROW()-ROW(G$95),NumberOfAssets),INT(INDEX(tblAssetMenuSpecs[IsEquities],1):(INDEX(tblAssetMenuSpecs[IsEquities],NumberOfAssets))))</f>
        <v>0</v>
      </c>
      <c r="H101" s="279">
        <f>MMULT(INDEX(ReportAssetWeightsBaseline,ROW()-ROW(H$95),1):INDEX(ReportAssetWeightsBaseline,ROW()-ROW(H$95),NumberOfAssets),INT(INDEX(tblAssetMenuSpecs[IsRealEstate],1):(INDEX(tblAssetMenuSpecs[IsRealEstate],NumberOfAssets))))</f>
        <v>0</v>
      </c>
      <c r="I101" s="279">
        <f>MMULT(INDEX(ReportAssetWeightsBaseline,ROW()-ROW(I$95),1):INDEX(ReportAssetWeightsBaseline,ROW()-ROW(I$95),NumberOfAssets),INT(INDEX(tblAssetMenuSpecs[IsAlternatives],1):(INDEX(tblAssetMenuSpecs[IsAlternatives],NumberOfAssets))))</f>
        <v>0</v>
      </c>
      <c r="J101" s="279">
        <f>MMULT(INDEX(ReportAssetWeightsBaseline,ROW()-ROW(J$95),1):INDEX(ReportAssetWeightsBaseline,ROW()-ROW(J$95),NumberOfAssets),INT(INDEX(tblAssetMenuSpecs[IsFixedIncome],1):(INDEX(tblAssetMenuSpecs[IsFixedIncome],NumberOfAssets))))</f>
        <v>1</v>
      </c>
      <c r="L101" s="280">
        <f>MMULT(INDEX(ReportAssetWeightsBaseline,ROW()-ROW(G$95),1):INDEX(ReportAssetWeightsBaseline,ROW()-ROW(G$95),NumberOfAssets),INT(INDEX(tblAssetMenuSpecs[Is Equities EU],1):(INDEX(tblAssetMenuSpecs[Is Equities EU],NumberOfAssets))))</f>
        <v>0</v>
      </c>
      <c r="M101" s="280">
        <f>MMULT(INDEX(ReportAssetWeightsBaseline,ROW()-ROW(H$95),1):INDEX(ReportAssetWeightsBaseline,ROW()-ROW(H$95),NumberOfAssets),INT(INDEX(tblAssetMenuSpecs[Is Equities US],1):(INDEX(tblAssetMenuSpecs[Is Equities US],NumberOfAssets))))</f>
        <v>0</v>
      </c>
      <c r="N101" s="280">
        <f>MMULT(INDEX(ReportAssetWeightsBaseline,ROW()-ROW(I$95),1):INDEX(ReportAssetWeightsBaseline,ROW()-ROW(I$95),NumberOfAssets),INT(INDEX(tblAssetMenuSpecs[Is Equities Other Developed Markets],1):(INDEX(tblAssetMenuSpecs[Is Equities Other Developed Markets],NumberOfAssets))))</f>
        <v>0</v>
      </c>
      <c r="O101" s="280">
        <f>MMULT(INDEX(ReportAssetWeightsBaseline,ROW()-ROW(J$95),1):INDEX(ReportAssetWeightsBaseline,ROW()-ROW(J$95),NumberOfAssets),INT(INDEX(tblAssetMenuSpecs[Is Equities Emerging Markets],1):(INDEX(tblAssetMenuSpecs[Is Equities Emerging Markets],NumberOfAssets))))</f>
        <v>0</v>
      </c>
      <c r="P101" s="280">
        <f>MMULT(INDEX(ReportAssetWeightsBaseline,ROW()-ROW(K$95),1):INDEX(ReportAssetWeightsBaseline,ROW()-ROW(K$95),NumberOfAssets),INT(INDEX(tblAssetMenuSpecs[Is Commodities],1):(INDEX(tblAssetMenuSpecs[Is Commodities],NumberOfAssets))))</f>
        <v>0</v>
      </c>
      <c r="Q101" s="280">
        <f>MMULT(INDEX(ReportAssetWeightsBaseline,ROW()-ROW(L$95),1):INDEX(ReportAssetWeightsBaseline,ROW()-ROW(L$95),NumberOfAssets),INT(INDEX(tblAssetMenuSpecs[Is Private Equity],1):(INDEX(tblAssetMenuSpecs[Is Private Equity],NumberOfAssets))))</f>
        <v>0</v>
      </c>
      <c r="R101" s="280">
        <f>MMULT(INDEX(ReportAssetWeightsBaseline,ROW()-ROW(M$95),1):INDEX(ReportAssetWeightsBaseline,ROW()-ROW(M$95),NumberOfAssets),INT(INDEX(tblAssetMenuSpecs[Is Hedge Funds],1):(INDEX(tblAssetMenuSpecs[Is Hedge Funds],NumberOfAssets))))</f>
        <v>0</v>
      </c>
      <c r="S101" s="280">
        <f>MMULT(INDEX(ReportAssetWeightsBaseline,ROW()-ROW(N$95),1):INDEX(ReportAssetWeightsBaseline,ROW()-ROW(N$95),NumberOfAssets),INT(INDEX(tblAssetMenuSpecs[Is Real Estate EU],1):(INDEX(tblAssetMenuSpecs[Is Real Estate EU],NumberOfAssets))))</f>
        <v>0</v>
      </c>
      <c r="T101" s="280">
        <f>MMULT(INDEX(ReportAssetWeightsBaseline,ROW()-ROW(O$95),1):INDEX(ReportAssetWeightsBaseline,ROW()-ROW(O$95),NumberOfAssets),INT(INDEX(tblAssetMenuSpecs[Is Real Estate US],1):(INDEX(tblAssetMenuSpecs[Is Real Estate US],NumberOfAssets))))</f>
        <v>0</v>
      </c>
      <c r="U101" s="280">
        <f>MMULT(INDEX(ReportAssetWeightsBaseline,ROW()-ROW(P$95),1):INDEX(ReportAssetWeightsBaseline,ROW()-ROW(P$95),NumberOfAssets),INT(INDEX(tblAssetMenuSpecs[Is Real Estate Other Developed Markets],1):(INDEX(tblAssetMenuSpecs[Is Real Estate Other Developed Markets],NumberOfAssets))))</f>
        <v>0</v>
      </c>
      <c r="V101" s="280">
        <f>MMULT(INDEX(ReportAssetWeightsBaseline,ROW()-ROW(Q$95),1):INDEX(ReportAssetWeightsBaseline,ROW()-ROW(Q$95),NumberOfAssets),INT(INDEX(tblAssetMenuSpecs[Is Real Estate Commercial EU (non-leveraged)],1):(INDEX(tblAssetMenuSpecs[Is Real Estate Commercial EU (non-leveraged)],NumberOfAssets))))</f>
        <v>0</v>
      </c>
      <c r="W101" s="280">
        <f>MMULT(INDEX(ReportAssetWeightsBaseline,ROW()-ROW(P$95),1):INDEX(ReportAssetWeightsBaseline,ROW()-ROW(P$95),NumberOfAssets),INT(INDEX(tblAssetMenuSpecs[Is Real Estate Residential EU (non-leveraged)],1):(INDEX(tblAssetMenuSpecs[Is Real Estate Residential EU (non-leveraged)],NumberOfAssets))))</f>
        <v>0</v>
      </c>
      <c r="X101" s="280">
        <f>MMULT(INDEX(ReportAssetWeightsBaseline,ROW()-ROW(Q$95),1):INDEX(ReportAssetWeightsBaseline,ROW()-ROW(Q$95),NumberOfAssets),INT(INDEX(tblAssetMenuSpecs[Is Government Bond EU],1):(INDEX(tblAssetMenuSpecs[Is Government Bond EU],NumberOfAssets))))</f>
        <v>0</v>
      </c>
      <c r="Y101" s="280">
        <f>MMULT(INDEX(ReportAssetWeightsBaseline,ROW()-ROW(R$95),1):INDEX(ReportAssetWeightsBaseline,ROW()-ROW(R$95),NumberOfAssets),INT(INDEX(tblAssetMenuSpecs[Is Government Bond US],1):(INDEX(tblAssetMenuSpecs[Is Government Bond US],NumberOfAssets))))</f>
        <v>0</v>
      </c>
      <c r="Z101" s="280">
        <f>MMULT(INDEX(ReportAssetWeightsBaseline,ROW()-ROW(S$95),1):INDEX(ReportAssetWeightsBaseline,ROW()-ROW(S$95),NumberOfAssets),INT(INDEX(tblAssetMenuSpecs[Is Government Bond Other Developed Markets],1):(INDEX(tblAssetMenuSpecs[Is Government Bond Other Developed Markets],NumberOfAssets))))</f>
        <v>0</v>
      </c>
      <c r="AA101" s="280">
        <f>MMULT(INDEX(ReportAssetWeightsBaseline,ROW()-ROW(T$95),1):INDEX(ReportAssetWeightsBaseline,ROW()-ROW(T$95),NumberOfAssets),INT(INDEX(tblAssetMenuSpecs[Is Government Bond Emerging Markets],1):(INDEX(tblAssetMenuSpecs[Is Government Bond Emerging Markets],NumberOfAssets))))</f>
        <v>0</v>
      </c>
      <c r="AB101" s="280">
        <f>MMULT(INDEX(ReportAssetWeightsBaseline,ROW()-ROW(U$95),1):INDEX(ReportAssetWeightsBaseline,ROW()-ROW(U$95),NumberOfAssets),INT(INDEX(tblAssetMenuSpecs[Is Corporate Bond],1):(INDEX(tblAssetMenuSpecs[Is Corporate Bond],NumberOfAssets))))</f>
        <v>0</v>
      </c>
      <c r="AC101" s="280">
        <f>MMULT(INDEX(ReportAssetWeightsBaseline,ROW()-ROW(V$95),1):INDEX(ReportAssetWeightsBaseline,ROW()-ROW(V$95),NumberOfAssets),INT(INDEX(tblAssetMenuSpecs[Is Corporate Bond Non-Financial],1):(INDEX(tblAssetMenuSpecs[Is Corporate Bond Non-Financial],NumberOfAssets))))</f>
        <v>0</v>
      </c>
      <c r="AD101" s="280">
        <f>MMULT(INDEX(ReportAssetWeightsBaseline,ROW()-ROW(W$95),1):INDEX(ReportAssetWeightsBaseline,ROW()-ROW(W$95),NumberOfAssets),INT(INDEX(tblAssetMenuSpecs[Is Corporate Bond Financial],1):(INDEX(tblAssetMenuSpecs[Is Corporate Bond Financial],NumberOfAssets))))</f>
        <v>0</v>
      </c>
      <c r="AE101" s="280">
        <f>MMULT(INDEX(ReportAssetWeightsBaseline,ROW()-ROW(V$95),1):INDEX(ReportAssetWeightsBaseline,ROW()-ROW(V$95),NumberOfAssets),INT(INDEX(tblAssetMenuSpecs[Is Cash and Deposits],1):(INDEX(tblAssetMenuSpecs[Is Cash and Deposits],NumberOfAssets))))</f>
        <v>1</v>
      </c>
    </row>
    <row r="102" spans="6:31" x14ac:dyDescent="0.25">
      <c r="F102" s="278">
        <f t="shared" si="0"/>
        <v>14</v>
      </c>
      <c r="G102" s="279">
        <f>MMULT(INDEX(ReportAssetWeightsBaseline,ROW()-ROW(G$95),1):INDEX(ReportAssetWeightsBaseline,ROW()-ROW(G$95),NumberOfAssets),INT(INDEX(tblAssetMenuSpecs[IsEquities],1):(INDEX(tblAssetMenuSpecs[IsEquities],NumberOfAssets))))</f>
        <v>0</v>
      </c>
      <c r="H102" s="279">
        <f>MMULT(INDEX(ReportAssetWeightsBaseline,ROW()-ROW(H$95),1):INDEX(ReportAssetWeightsBaseline,ROW()-ROW(H$95),NumberOfAssets),INT(INDEX(tblAssetMenuSpecs[IsRealEstate],1):(INDEX(tblAssetMenuSpecs[IsRealEstate],NumberOfAssets))))</f>
        <v>0</v>
      </c>
      <c r="I102" s="279">
        <f>MMULT(INDEX(ReportAssetWeightsBaseline,ROW()-ROW(I$95),1):INDEX(ReportAssetWeightsBaseline,ROW()-ROW(I$95),NumberOfAssets),INT(INDEX(tblAssetMenuSpecs[IsAlternatives],1):(INDEX(tblAssetMenuSpecs[IsAlternatives],NumberOfAssets))))</f>
        <v>0</v>
      </c>
      <c r="J102" s="279">
        <f>MMULT(INDEX(ReportAssetWeightsBaseline,ROW()-ROW(J$95),1):INDEX(ReportAssetWeightsBaseline,ROW()-ROW(J$95),NumberOfAssets),INT(INDEX(tblAssetMenuSpecs[IsFixedIncome],1):(INDEX(tblAssetMenuSpecs[IsFixedIncome],NumberOfAssets))))</f>
        <v>1</v>
      </c>
      <c r="L102" s="280">
        <f>MMULT(INDEX(ReportAssetWeightsBaseline,ROW()-ROW(G$95),1):INDEX(ReportAssetWeightsBaseline,ROW()-ROW(G$95),NumberOfAssets),INT(INDEX(tblAssetMenuSpecs[Is Equities EU],1):(INDEX(tblAssetMenuSpecs[Is Equities EU],NumberOfAssets))))</f>
        <v>0</v>
      </c>
      <c r="M102" s="280">
        <f>MMULT(INDEX(ReportAssetWeightsBaseline,ROW()-ROW(H$95),1):INDEX(ReportAssetWeightsBaseline,ROW()-ROW(H$95),NumberOfAssets),INT(INDEX(tblAssetMenuSpecs[Is Equities US],1):(INDEX(tblAssetMenuSpecs[Is Equities US],NumberOfAssets))))</f>
        <v>0</v>
      </c>
      <c r="N102" s="280">
        <f>MMULT(INDEX(ReportAssetWeightsBaseline,ROW()-ROW(I$95),1):INDEX(ReportAssetWeightsBaseline,ROW()-ROW(I$95),NumberOfAssets),INT(INDEX(tblAssetMenuSpecs[Is Equities Other Developed Markets],1):(INDEX(tblAssetMenuSpecs[Is Equities Other Developed Markets],NumberOfAssets))))</f>
        <v>0</v>
      </c>
      <c r="O102" s="280">
        <f>MMULT(INDEX(ReportAssetWeightsBaseline,ROW()-ROW(J$95),1):INDEX(ReportAssetWeightsBaseline,ROW()-ROW(J$95),NumberOfAssets),INT(INDEX(tblAssetMenuSpecs[Is Equities Emerging Markets],1):(INDEX(tblAssetMenuSpecs[Is Equities Emerging Markets],NumberOfAssets))))</f>
        <v>0</v>
      </c>
      <c r="P102" s="280">
        <f>MMULT(INDEX(ReportAssetWeightsBaseline,ROW()-ROW(K$95),1):INDEX(ReportAssetWeightsBaseline,ROW()-ROW(K$95),NumberOfAssets),INT(INDEX(tblAssetMenuSpecs[Is Commodities],1):(INDEX(tblAssetMenuSpecs[Is Commodities],NumberOfAssets))))</f>
        <v>0</v>
      </c>
      <c r="Q102" s="280">
        <f>MMULT(INDEX(ReportAssetWeightsBaseline,ROW()-ROW(L$95),1):INDEX(ReportAssetWeightsBaseline,ROW()-ROW(L$95),NumberOfAssets),INT(INDEX(tblAssetMenuSpecs[Is Private Equity],1):(INDEX(tblAssetMenuSpecs[Is Private Equity],NumberOfAssets))))</f>
        <v>0</v>
      </c>
      <c r="R102" s="280">
        <f>MMULT(INDEX(ReportAssetWeightsBaseline,ROW()-ROW(M$95),1):INDEX(ReportAssetWeightsBaseline,ROW()-ROW(M$95),NumberOfAssets),INT(INDEX(tblAssetMenuSpecs[Is Hedge Funds],1):(INDEX(tblAssetMenuSpecs[Is Hedge Funds],NumberOfAssets))))</f>
        <v>0</v>
      </c>
      <c r="S102" s="280">
        <f>MMULT(INDEX(ReportAssetWeightsBaseline,ROW()-ROW(N$95),1):INDEX(ReportAssetWeightsBaseline,ROW()-ROW(N$95),NumberOfAssets),INT(INDEX(tblAssetMenuSpecs[Is Real Estate EU],1):(INDEX(tblAssetMenuSpecs[Is Real Estate EU],NumberOfAssets))))</f>
        <v>0</v>
      </c>
      <c r="T102" s="280">
        <f>MMULT(INDEX(ReportAssetWeightsBaseline,ROW()-ROW(O$95),1):INDEX(ReportAssetWeightsBaseline,ROW()-ROW(O$95),NumberOfAssets),INT(INDEX(tblAssetMenuSpecs[Is Real Estate US],1):(INDEX(tblAssetMenuSpecs[Is Real Estate US],NumberOfAssets))))</f>
        <v>0</v>
      </c>
      <c r="U102" s="280">
        <f>MMULT(INDEX(ReportAssetWeightsBaseline,ROW()-ROW(P$95),1):INDEX(ReportAssetWeightsBaseline,ROW()-ROW(P$95),NumberOfAssets),INT(INDEX(tblAssetMenuSpecs[Is Real Estate Other Developed Markets],1):(INDEX(tblAssetMenuSpecs[Is Real Estate Other Developed Markets],NumberOfAssets))))</f>
        <v>0</v>
      </c>
      <c r="V102" s="280">
        <f>MMULT(INDEX(ReportAssetWeightsBaseline,ROW()-ROW(Q$95),1):INDEX(ReportAssetWeightsBaseline,ROW()-ROW(Q$95),NumberOfAssets),INT(INDEX(tblAssetMenuSpecs[Is Real Estate Commercial EU (non-leveraged)],1):(INDEX(tblAssetMenuSpecs[Is Real Estate Commercial EU (non-leveraged)],NumberOfAssets))))</f>
        <v>0</v>
      </c>
      <c r="W102" s="280">
        <f>MMULT(INDEX(ReportAssetWeightsBaseline,ROW()-ROW(P$95),1):INDEX(ReportAssetWeightsBaseline,ROW()-ROW(P$95),NumberOfAssets),INT(INDEX(tblAssetMenuSpecs[Is Real Estate Residential EU (non-leveraged)],1):(INDEX(tblAssetMenuSpecs[Is Real Estate Residential EU (non-leveraged)],NumberOfAssets))))</f>
        <v>0</v>
      </c>
      <c r="X102" s="280">
        <f>MMULT(INDEX(ReportAssetWeightsBaseline,ROW()-ROW(Q$95),1):INDEX(ReportAssetWeightsBaseline,ROW()-ROW(Q$95),NumberOfAssets),INT(INDEX(tblAssetMenuSpecs[Is Government Bond EU],1):(INDEX(tblAssetMenuSpecs[Is Government Bond EU],NumberOfAssets))))</f>
        <v>0</v>
      </c>
      <c r="Y102" s="280">
        <f>MMULT(INDEX(ReportAssetWeightsBaseline,ROW()-ROW(R$95),1):INDEX(ReportAssetWeightsBaseline,ROW()-ROW(R$95),NumberOfAssets),INT(INDEX(tblAssetMenuSpecs[Is Government Bond US],1):(INDEX(tblAssetMenuSpecs[Is Government Bond US],NumberOfAssets))))</f>
        <v>0</v>
      </c>
      <c r="Z102" s="280">
        <f>MMULT(INDEX(ReportAssetWeightsBaseline,ROW()-ROW(S$95),1):INDEX(ReportAssetWeightsBaseline,ROW()-ROW(S$95),NumberOfAssets),INT(INDEX(tblAssetMenuSpecs[Is Government Bond Other Developed Markets],1):(INDEX(tblAssetMenuSpecs[Is Government Bond Other Developed Markets],NumberOfAssets))))</f>
        <v>0</v>
      </c>
      <c r="AA102" s="280">
        <f>MMULT(INDEX(ReportAssetWeightsBaseline,ROW()-ROW(T$95),1):INDEX(ReportAssetWeightsBaseline,ROW()-ROW(T$95),NumberOfAssets),INT(INDEX(tblAssetMenuSpecs[Is Government Bond Emerging Markets],1):(INDEX(tblAssetMenuSpecs[Is Government Bond Emerging Markets],NumberOfAssets))))</f>
        <v>0</v>
      </c>
      <c r="AB102" s="280">
        <f>MMULT(INDEX(ReportAssetWeightsBaseline,ROW()-ROW(U$95),1):INDEX(ReportAssetWeightsBaseline,ROW()-ROW(U$95),NumberOfAssets),INT(INDEX(tblAssetMenuSpecs[Is Corporate Bond],1):(INDEX(tblAssetMenuSpecs[Is Corporate Bond],NumberOfAssets))))</f>
        <v>0</v>
      </c>
      <c r="AC102" s="280">
        <f>MMULT(INDEX(ReportAssetWeightsBaseline,ROW()-ROW(V$95),1):INDEX(ReportAssetWeightsBaseline,ROW()-ROW(V$95),NumberOfAssets),INT(INDEX(tblAssetMenuSpecs[Is Corporate Bond Non-Financial],1):(INDEX(tblAssetMenuSpecs[Is Corporate Bond Non-Financial],NumberOfAssets))))</f>
        <v>0</v>
      </c>
      <c r="AD102" s="280">
        <f>MMULT(INDEX(ReportAssetWeightsBaseline,ROW()-ROW(W$95),1):INDEX(ReportAssetWeightsBaseline,ROW()-ROW(W$95),NumberOfAssets),INT(INDEX(tblAssetMenuSpecs[Is Corporate Bond Financial],1):(INDEX(tblAssetMenuSpecs[Is Corporate Bond Financial],NumberOfAssets))))</f>
        <v>0</v>
      </c>
      <c r="AE102" s="280">
        <f>MMULT(INDEX(ReportAssetWeightsBaseline,ROW()-ROW(V$95),1):INDEX(ReportAssetWeightsBaseline,ROW()-ROW(V$95),NumberOfAssets),INT(INDEX(tblAssetMenuSpecs[Is Cash and Deposits],1):(INDEX(tblAssetMenuSpecs[Is Cash and Deposits],NumberOfAssets))))</f>
        <v>1</v>
      </c>
    </row>
    <row r="103" spans="6:31" x14ac:dyDescent="0.25">
      <c r="F103" s="278">
        <f t="shared" si="0"/>
        <v>13</v>
      </c>
      <c r="G103" s="279">
        <f>MMULT(INDEX(ReportAssetWeightsBaseline,ROW()-ROW(G$95),1):INDEX(ReportAssetWeightsBaseline,ROW()-ROW(G$95),NumberOfAssets),INT(INDEX(tblAssetMenuSpecs[IsEquities],1):(INDEX(tblAssetMenuSpecs[IsEquities],NumberOfAssets))))</f>
        <v>0</v>
      </c>
      <c r="H103" s="279">
        <f>MMULT(INDEX(ReportAssetWeightsBaseline,ROW()-ROW(H$95),1):INDEX(ReportAssetWeightsBaseline,ROW()-ROW(H$95),NumberOfAssets),INT(INDEX(tblAssetMenuSpecs[IsRealEstate],1):(INDEX(tblAssetMenuSpecs[IsRealEstate],NumberOfAssets))))</f>
        <v>0</v>
      </c>
      <c r="I103" s="279">
        <f>MMULT(INDEX(ReportAssetWeightsBaseline,ROW()-ROW(I$95),1):INDEX(ReportAssetWeightsBaseline,ROW()-ROW(I$95),NumberOfAssets),INT(INDEX(tblAssetMenuSpecs[IsAlternatives],1):(INDEX(tblAssetMenuSpecs[IsAlternatives],NumberOfAssets))))</f>
        <v>0</v>
      </c>
      <c r="J103" s="279">
        <f>MMULT(INDEX(ReportAssetWeightsBaseline,ROW()-ROW(J$95),1):INDEX(ReportAssetWeightsBaseline,ROW()-ROW(J$95),NumberOfAssets),INT(INDEX(tblAssetMenuSpecs[IsFixedIncome],1):(INDEX(tblAssetMenuSpecs[IsFixedIncome],NumberOfAssets))))</f>
        <v>1</v>
      </c>
      <c r="L103" s="280">
        <f>MMULT(INDEX(ReportAssetWeightsBaseline,ROW()-ROW(G$95),1):INDEX(ReportAssetWeightsBaseline,ROW()-ROW(G$95),NumberOfAssets),INT(INDEX(tblAssetMenuSpecs[Is Equities EU],1):(INDEX(tblAssetMenuSpecs[Is Equities EU],NumberOfAssets))))</f>
        <v>0</v>
      </c>
      <c r="M103" s="280">
        <f>MMULT(INDEX(ReportAssetWeightsBaseline,ROW()-ROW(H$95),1):INDEX(ReportAssetWeightsBaseline,ROW()-ROW(H$95),NumberOfAssets),INT(INDEX(tblAssetMenuSpecs[Is Equities US],1):(INDEX(tblAssetMenuSpecs[Is Equities US],NumberOfAssets))))</f>
        <v>0</v>
      </c>
      <c r="N103" s="280">
        <f>MMULT(INDEX(ReportAssetWeightsBaseline,ROW()-ROW(I$95),1):INDEX(ReportAssetWeightsBaseline,ROW()-ROW(I$95),NumberOfAssets),INT(INDEX(tblAssetMenuSpecs[Is Equities Other Developed Markets],1):(INDEX(tblAssetMenuSpecs[Is Equities Other Developed Markets],NumberOfAssets))))</f>
        <v>0</v>
      </c>
      <c r="O103" s="280">
        <f>MMULT(INDEX(ReportAssetWeightsBaseline,ROW()-ROW(J$95),1):INDEX(ReportAssetWeightsBaseline,ROW()-ROW(J$95),NumberOfAssets),INT(INDEX(tblAssetMenuSpecs[Is Equities Emerging Markets],1):(INDEX(tblAssetMenuSpecs[Is Equities Emerging Markets],NumberOfAssets))))</f>
        <v>0</v>
      </c>
      <c r="P103" s="280">
        <f>MMULT(INDEX(ReportAssetWeightsBaseline,ROW()-ROW(K$95),1):INDEX(ReportAssetWeightsBaseline,ROW()-ROW(K$95),NumberOfAssets),INT(INDEX(tblAssetMenuSpecs[Is Commodities],1):(INDEX(tblAssetMenuSpecs[Is Commodities],NumberOfAssets))))</f>
        <v>0</v>
      </c>
      <c r="Q103" s="280">
        <f>MMULT(INDEX(ReportAssetWeightsBaseline,ROW()-ROW(L$95),1):INDEX(ReportAssetWeightsBaseline,ROW()-ROW(L$95),NumberOfAssets),INT(INDEX(tblAssetMenuSpecs[Is Private Equity],1):(INDEX(tblAssetMenuSpecs[Is Private Equity],NumberOfAssets))))</f>
        <v>0</v>
      </c>
      <c r="R103" s="280">
        <f>MMULT(INDEX(ReportAssetWeightsBaseline,ROW()-ROW(M$95),1):INDEX(ReportAssetWeightsBaseline,ROW()-ROW(M$95),NumberOfAssets),INT(INDEX(tblAssetMenuSpecs[Is Hedge Funds],1):(INDEX(tblAssetMenuSpecs[Is Hedge Funds],NumberOfAssets))))</f>
        <v>0</v>
      </c>
      <c r="S103" s="280">
        <f>MMULT(INDEX(ReportAssetWeightsBaseline,ROW()-ROW(N$95),1):INDEX(ReportAssetWeightsBaseline,ROW()-ROW(N$95),NumberOfAssets),INT(INDEX(tblAssetMenuSpecs[Is Real Estate EU],1):(INDEX(tblAssetMenuSpecs[Is Real Estate EU],NumberOfAssets))))</f>
        <v>0</v>
      </c>
      <c r="T103" s="280">
        <f>MMULT(INDEX(ReportAssetWeightsBaseline,ROW()-ROW(O$95),1):INDEX(ReportAssetWeightsBaseline,ROW()-ROW(O$95),NumberOfAssets),INT(INDEX(tblAssetMenuSpecs[Is Real Estate US],1):(INDEX(tblAssetMenuSpecs[Is Real Estate US],NumberOfAssets))))</f>
        <v>0</v>
      </c>
      <c r="U103" s="280">
        <f>MMULT(INDEX(ReportAssetWeightsBaseline,ROW()-ROW(P$95),1):INDEX(ReportAssetWeightsBaseline,ROW()-ROW(P$95),NumberOfAssets),INT(INDEX(tblAssetMenuSpecs[Is Real Estate Other Developed Markets],1):(INDEX(tblAssetMenuSpecs[Is Real Estate Other Developed Markets],NumberOfAssets))))</f>
        <v>0</v>
      </c>
      <c r="V103" s="280">
        <f>MMULT(INDEX(ReportAssetWeightsBaseline,ROW()-ROW(Q$95),1):INDEX(ReportAssetWeightsBaseline,ROW()-ROW(Q$95),NumberOfAssets),INT(INDEX(tblAssetMenuSpecs[Is Real Estate Commercial EU (non-leveraged)],1):(INDEX(tblAssetMenuSpecs[Is Real Estate Commercial EU (non-leveraged)],NumberOfAssets))))</f>
        <v>0</v>
      </c>
      <c r="W103" s="280">
        <f>MMULT(INDEX(ReportAssetWeightsBaseline,ROW()-ROW(P$95),1):INDEX(ReportAssetWeightsBaseline,ROW()-ROW(P$95),NumberOfAssets),INT(INDEX(tblAssetMenuSpecs[Is Real Estate Residential EU (non-leveraged)],1):(INDEX(tblAssetMenuSpecs[Is Real Estate Residential EU (non-leveraged)],NumberOfAssets))))</f>
        <v>0</v>
      </c>
      <c r="X103" s="280">
        <f>MMULT(INDEX(ReportAssetWeightsBaseline,ROW()-ROW(Q$95),1):INDEX(ReportAssetWeightsBaseline,ROW()-ROW(Q$95),NumberOfAssets),INT(INDEX(tblAssetMenuSpecs[Is Government Bond EU],1):(INDEX(tblAssetMenuSpecs[Is Government Bond EU],NumberOfAssets))))</f>
        <v>0</v>
      </c>
      <c r="Y103" s="280">
        <f>MMULT(INDEX(ReportAssetWeightsBaseline,ROW()-ROW(R$95),1):INDEX(ReportAssetWeightsBaseline,ROW()-ROW(R$95),NumberOfAssets),INT(INDEX(tblAssetMenuSpecs[Is Government Bond US],1):(INDEX(tblAssetMenuSpecs[Is Government Bond US],NumberOfAssets))))</f>
        <v>0</v>
      </c>
      <c r="Z103" s="280">
        <f>MMULT(INDEX(ReportAssetWeightsBaseline,ROW()-ROW(S$95),1):INDEX(ReportAssetWeightsBaseline,ROW()-ROW(S$95),NumberOfAssets),INT(INDEX(tblAssetMenuSpecs[Is Government Bond Other Developed Markets],1):(INDEX(tblAssetMenuSpecs[Is Government Bond Other Developed Markets],NumberOfAssets))))</f>
        <v>0</v>
      </c>
      <c r="AA103" s="280">
        <f>MMULT(INDEX(ReportAssetWeightsBaseline,ROW()-ROW(T$95),1):INDEX(ReportAssetWeightsBaseline,ROW()-ROW(T$95),NumberOfAssets),INT(INDEX(tblAssetMenuSpecs[Is Government Bond Emerging Markets],1):(INDEX(tblAssetMenuSpecs[Is Government Bond Emerging Markets],NumberOfAssets))))</f>
        <v>0</v>
      </c>
      <c r="AB103" s="280">
        <f>MMULT(INDEX(ReportAssetWeightsBaseline,ROW()-ROW(U$95),1):INDEX(ReportAssetWeightsBaseline,ROW()-ROW(U$95),NumberOfAssets),INT(INDEX(tblAssetMenuSpecs[Is Corporate Bond],1):(INDEX(tblAssetMenuSpecs[Is Corporate Bond],NumberOfAssets))))</f>
        <v>0</v>
      </c>
      <c r="AC103" s="280">
        <f>MMULT(INDEX(ReportAssetWeightsBaseline,ROW()-ROW(V$95),1):INDEX(ReportAssetWeightsBaseline,ROW()-ROW(V$95),NumberOfAssets),INT(INDEX(tblAssetMenuSpecs[Is Corporate Bond Non-Financial],1):(INDEX(tblAssetMenuSpecs[Is Corporate Bond Non-Financial],NumberOfAssets))))</f>
        <v>0</v>
      </c>
      <c r="AD103" s="280">
        <f>MMULT(INDEX(ReportAssetWeightsBaseline,ROW()-ROW(W$95),1):INDEX(ReportAssetWeightsBaseline,ROW()-ROW(W$95),NumberOfAssets),INT(INDEX(tblAssetMenuSpecs[Is Corporate Bond Financial],1):(INDEX(tblAssetMenuSpecs[Is Corporate Bond Financial],NumberOfAssets))))</f>
        <v>0</v>
      </c>
      <c r="AE103" s="280">
        <f>MMULT(INDEX(ReportAssetWeightsBaseline,ROW()-ROW(V$95),1):INDEX(ReportAssetWeightsBaseline,ROW()-ROW(V$95),NumberOfAssets),INT(INDEX(tblAssetMenuSpecs[Is Cash and Deposits],1):(INDEX(tblAssetMenuSpecs[Is Cash and Deposits],NumberOfAssets))))</f>
        <v>1</v>
      </c>
    </row>
    <row r="104" spans="6:31" x14ac:dyDescent="0.25">
      <c r="F104" s="278">
        <f t="shared" si="0"/>
        <v>12</v>
      </c>
      <c r="G104" s="279">
        <f>MMULT(INDEX(ReportAssetWeightsBaseline,ROW()-ROW(G$95),1):INDEX(ReportAssetWeightsBaseline,ROW()-ROW(G$95),NumberOfAssets),INT(INDEX(tblAssetMenuSpecs[IsEquities],1):(INDEX(tblAssetMenuSpecs[IsEquities],NumberOfAssets))))</f>
        <v>0</v>
      </c>
      <c r="H104" s="279">
        <f>MMULT(INDEX(ReportAssetWeightsBaseline,ROW()-ROW(H$95),1):INDEX(ReportAssetWeightsBaseline,ROW()-ROW(H$95),NumberOfAssets),INT(INDEX(tblAssetMenuSpecs[IsRealEstate],1):(INDEX(tblAssetMenuSpecs[IsRealEstate],NumberOfAssets))))</f>
        <v>0</v>
      </c>
      <c r="I104" s="279">
        <f>MMULT(INDEX(ReportAssetWeightsBaseline,ROW()-ROW(I$95),1):INDEX(ReportAssetWeightsBaseline,ROW()-ROW(I$95),NumberOfAssets),INT(INDEX(tblAssetMenuSpecs[IsAlternatives],1):(INDEX(tblAssetMenuSpecs[IsAlternatives],NumberOfAssets))))</f>
        <v>0</v>
      </c>
      <c r="J104" s="279">
        <f>MMULT(INDEX(ReportAssetWeightsBaseline,ROW()-ROW(J$95),1):INDEX(ReportAssetWeightsBaseline,ROW()-ROW(J$95),NumberOfAssets),INT(INDEX(tblAssetMenuSpecs[IsFixedIncome],1):(INDEX(tblAssetMenuSpecs[IsFixedIncome],NumberOfAssets))))</f>
        <v>1</v>
      </c>
      <c r="L104" s="280">
        <f>MMULT(INDEX(ReportAssetWeightsBaseline,ROW()-ROW(G$95),1):INDEX(ReportAssetWeightsBaseline,ROW()-ROW(G$95),NumberOfAssets),INT(INDEX(tblAssetMenuSpecs[Is Equities EU],1):(INDEX(tblAssetMenuSpecs[Is Equities EU],NumberOfAssets))))</f>
        <v>0</v>
      </c>
      <c r="M104" s="280">
        <f>MMULT(INDEX(ReportAssetWeightsBaseline,ROW()-ROW(H$95),1):INDEX(ReportAssetWeightsBaseline,ROW()-ROW(H$95),NumberOfAssets),INT(INDEX(tblAssetMenuSpecs[Is Equities US],1):(INDEX(tblAssetMenuSpecs[Is Equities US],NumberOfAssets))))</f>
        <v>0</v>
      </c>
      <c r="N104" s="280">
        <f>MMULT(INDEX(ReportAssetWeightsBaseline,ROW()-ROW(I$95),1):INDEX(ReportAssetWeightsBaseline,ROW()-ROW(I$95),NumberOfAssets),INT(INDEX(tblAssetMenuSpecs[Is Equities Other Developed Markets],1):(INDEX(tblAssetMenuSpecs[Is Equities Other Developed Markets],NumberOfAssets))))</f>
        <v>0</v>
      </c>
      <c r="O104" s="280">
        <f>MMULT(INDEX(ReportAssetWeightsBaseline,ROW()-ROW(J$95),1):INDEX(ReportAssetWeightsBaseline,ROW()-ROW(J$95),NumberOfAssets),INT(INDEX(tblAssetMenuSpecs[Is Equities Emerging Markets],1):(INDEX(tblAssetMenuSpecs[Is Equities Emerging Markets],NumberOfAssets))))</f>
        <v>0</v>
      </c>
      <c r="P104" s="280">
        <f>MMULT(INDEX(ReportAssetWeightsBaseline,ROW()-ROW(K$95),1):INDEX(ReportAssetWeightsBaseline,ROW()-ROW(K$95),NumberOfAssets),INT(INDEX(tblAssetMenuSpecs[Is Commodities],1):(INDEX(tblAssetMenuSpecs[Is Commodities],NumberOfAssets))))</f>
        <v>0</v>
      </c>
      <c r="Q104" s="280">
        <f>MMULT(INDEX(ReportAssetWeightsBaseline,ROW()-ROW(L$95),1):INDEX(ReportAssetWeightsBaseline,ROW()-ROW(L$95),NumberOfAssets),INT(INDEX(tblAssetMenuSpecs[Is Private Equity],1):(INDEX(tblAssetMenuSpecs[Is Private Equity],NumberOfAssets))))</f>
        <v>0</v>
      </c>
      <c r="R104" s="280">
        <f>MMULT(INDEX(ReportAssetWeightsBaseline,ROW()-ROW(M$95),1):INDEX(ReportAssetWeightsBaseline,ROW()-ROW(M$95),NumberOfAssets),INT(INDEX(tblAssetMenuSpecs[Is Hedge Funds],1):(INDEX(tblAssetMenuSpecs[Is Hedge Funds],NumberOfAssets))))</f>
        <v>0</v>
      </c>
      <c r="S104" s="280">
        <f>MMULT(INDEX(ReportAssetWeightsBaseline,ROW()-ROW(N$95),1):INDEX(ReportAssetWeightsBaseline,ROW()-ROW(N$95),NumberOfAssets),INT(INDEX(tblAssetMenuSpecs[Is Real Estate EU],1):(INDEX(tblAssetMenuSpecs[Is Real Estate EU],NumberOfAssets))))</f>
        <v>0</v>
      </c>
      <c r="T104" s="280">
        <f>MMULT(INDEX(ReportAssetWeightsBaseline,ROW()-ROW(O$95),1):INDEX(ReportAssetWeightsBaseline,ROW()-ROW(O$95),NumberOfAssets),INT(INDEX(tblAssetMenuSpecs[Is Real Estate US],1):(INDEX(tblAssetMenuSpecs[Is Real Estate US],NumberOfAssets))))</f>
        <v>0</v>
      </c>
      <c r="U104" s="280">
        <f>MMULT(INDEX(ReportAssetWeightsBaseline,ROW()-ROW(P$95),1):INDEX(ReportAssetWeightsBaseline,ROW()-ROW(P$95),NumberOfAssets),INT(INDEX(tblAssetMenuSpecs[Is Real Estate Other Developed Markets],1):(INDEX(tblAssetMenuSpecs[Is Real Estate Other Developed Markets],NumberOfAssets))))</f>
        <v>0</v>
      </c>
      <c r="V104" s="280">
        <f>MMULT(INDEX(ReportAssetWeightsBaseline,ROW()-ROW(Q$95),1):INDEX(ReportAssetWeightsBaseline,ROW()-ROW(Q$95),NumberOfAssets),INT(INDEX(tblAssetMenuSpecs[Is Real Estate Commercial EU (non-leveraged)],1):(INDEX(tblAssetMenuSpecs[Is Real Estate Commercial EU (non-leveraged)],NumberOfAssets))))</f>
        <v>0</v>
      </c>
      <c r="W104" s="280">
        <f>MMULT(INDEX(ReportAssetWeightsBaseline,ROW()-ROW(P$95),1):INDEX(ReportAssetWeightsBaseline,ROW()-ROW(P$95),NumberOfAssets),INT(INDEX(tblAssetMenuSpecs[Is Real Estate Residential EU (non-leveraged)],1):(INDEX(tblAssetMenuSpecs[Is Real Estate Residential EU (non-leveraged)],NumberOfAssets))))</f>
        <v>0</v>
      </c>
      <c r="X104" s="280">
        <f>MMULT(INDEX(ReportAssetWeightsBaseline,ROW()-ROW(Q$95),1):INDEX(ReportAssetWeightsBaseline,ROW()-ROW(Q$95),NumberOfAssets),INT(INDEX(tblAssetMenuSpecs[Is Government Bond EU],1):(INDEX(tblAssetMenuSpecs[Is Government Bond EU],NumberOfAssets))))</f>
        <v>0</v>
      </c>
      <c r="Y104" s="280">
        <f>MMULT(INDEX(ReportAssetWeightsBaseline,ROW()-ROW(R$95),1):INDEX(ReportAssetWeightsBaseline,ROW()-ROW(R$95),NumberOfAssets),INT(INDEX(tblAssetMenuSpecs[Is Government Bond US],1):(INDEX(tblAssetMenuSpecs[Is Government Bond US],NumberOfAssets))))</f>
        <v>0</v>
      </c>
      <c r="Z104" s="280">
        <f>MMULT(INDEX(ReportAssetWeightsBaseline,ROW()-ROW(S$95),1):INDEX(ReportAssetWeightsBaseline,ROW()-ROW(S$95),NumberOfAssets),INT(INDEX(tblAssetMenuSpecs[Is Government Bond Other Developed Markets],1):(INDEX(tblAssetMenuSpecs[Is Government Bond Other Developed Markets],NumberOfAssets))))</f>
        <v>0</v>
      </c>
      <c r="AA104" s="280">
        <f>MMULT(INDEX(ReportAssetWeightsBaseline,ROW()-ROW(T$95),1):INDEX(ReportAssetWeightsBaseline,ROW()-ROW(T$95),NumberOfAssets),INT(INDEX(tblAssetMenuSpecs[Is Government Bond Emerging Markets],1):(INDEX(tblAssetMenuSpecs[Is Government Bond Emerging Markets],NumberOfAssets))))</f>
        <v>0</v>
      </c>
      <c r="AB104" s="280">
        <f>MMULT(INDEX(ReportAssetWeightsBaseline,ROW()-ROW(U$95),1):INDEX(ReportAssetWeightsBaseline,ROW()-ROW(U$95),NumberOfAssets),INT(INDEX(tblAssetMenuSpecs[Is Corporate Bond],1):(INDEX(tblAssetMenuSpecs[Is Corporate Bond],NumberOfAssets))))</f>
        <v>0</v>
      </c>
      <c r="AC104" s="280">
        <f>MMULT(INDEX(ReportAssetWeightsBaseline,ROW()-ROW(V$95),1):INDEX(ReportAssetWeightsBaseline,ROW()-ROW(V$95),NumberOfAssets),INT(INDEX(tblAssetMenuSpecs[Is Corporate Bond Non-Financial],1):(INDEX(tblAssetMenuSpecs[Is Corporate Bond Non-Financial],NumberOfAssets))))</f>
        <v>0</v>
      </c>
      <c r="AD104" s="280">
        <f>MMULT(INDEX(ReportAssetWeightsBaseline,ROW()-ROW(W$95),1):INDEX(ReportAssetWeightsBaseline,ROW()-ROW(W$95),NumberOfAssets),INT(INDEX(tblAssetMenuSpecs[Is Corporate Bond Financial],1):(INDEX(tblAssetMenuSpecs[Is Corporate Bond Financial],NumberOfAssets))))</f>
        <v>0</v>
      </c>
      <c r="AE104" s="280">
        <f>MMULT(INDEX(ReportAssetWeightsBaseline,ROW()-ROW(V$95),1):INDEX(ReportAssetWeightsBaseline,ROW()-ROW(V$95),NumberOfAssets),INT(INDEX(tblAssetMenuSpecs[Is Cash and Deposits],1):(INDEX(tblAssetMenuSpecs[Is Cash and Deposits],NumberOfAssets))))</f>
        <v>1</v>
      </c>
    </row>
    <row r="105" spans="6:31" x14ac:dyDescent="0.25">
      <c r="F105" s="278">
        <f t="shared" si="0"/>
        <v>11</v>
      </c>
      <c r="G105" s="279">
        <f>MMULT(INDEX(ReportAssetWeightsBaseline,ROW()-ROW(G$95),1):INDEX(ReportAssetWeightsBaseline,ROW()-ROW(G$95),NumberOfAssets),INT(INDEX(tblAssetMenuSpecs[IsEquities],1):(INDEX(tblAssetMenuSpecs[IsEquities],NumberOfAssets))))</f>
        <v>0</v>
      </c>
      <c r="H105" s="279">
        <f>MMULT(INDEX(ReportAssetWeightsBaseline,ROW()-ROW(H$95),1):INDEX(ReportAssetWeightsBaseline,ROW()-ROW(H$95),NumberOfAssets),INT(INDEX(tblAssetMenuSpecs[IsRealEstate],1):(INDEX(tblAssetMenuSpecs[IsRealEstate],NumberOfAssets))))</f>
        <v>0</v>
      </c>
      <c r="I105" s="279">
        <f>MMULT(INDEX(ReportAssetWeightsBaseline,ROW()-ROW(I$95),1):INDEX(ReportAssetWeightsBaseline,ROW()-ROW(I$95),NumberOfAssets),INT(INDEX(tblAssetMenuSpecs[IsAlternatives],1):(INDEX(tblAssetMenuSpecs[IsAlternatives],NumberOfAssets))))</f>
        <v>0</v>
      </c>
      <c r="J105" s="279">
        <f>MMULT(INDEX(ReportAssetWeightsBaseline,ROW()-ROW(J$95),1):INDEX(ReportAssetWeightsBaseline,ROW()-ROW(J$95),NumberOfAssets),INT(INDEX(tblAssetMenuSpecs[IsFixedIncome],1):(INDEX(tblAssetMenuSpecs[IsFixedIncome],NumberOfAssets))))</f>
        <v>1</v>
      </c>
      <c r="L105" s="280">
        <f>MMULT(INDEX(ReportAssetWeightsBaseline,ROW()-ROW(G$95),1):INDEX(ReportAssetWeightsBaseline,ROW()-ROW(G$95),NumberOfAssets),INT(INDEX(tblAssetMenuSpecs[Is Equities EU],1):(INDEX(tblAssetMenuSpecs[Is Equities EU],NumberOfAssets))))</f>
        <v>0</v>
      </c>
      <c r="M105" s="280">
        <f>MMULT(INDEX(ReportAssetWeightsBaseline,ROW()-ROW(H$95),1):INDEX(ReportAssetWeightsBaseline,ROW()-ROW(H$95),NumberOfAssets),INT(INDEX(tblAssetMenuSpecs[Is Equities US],1):(INDEX(tblAssetMenuSpecs[Is Equities US],NumberOfAssets))))</f>
        <v>0</v>
      </c>
      <c r="N105" s="280">
        <f>MMULT(INDEX(ReportAssetWeightsBaseline,ROW()-ROW(I$95),1):INDEX(ReportAssetWeightsBaseline,ROW()-ROW(I$95),NumberOfAssets),INT(INDEX(tblAssetMenuSpecs[Is Equities Other Developed Markets],1):(INDEX(tblAssetMenuSpecs[Is Equities Other Developed Markets],NumberOfAssets))))</f>
        <v>0</v>
      </c>
      <c r="O105" s="280">
        <f>MMULT(INDEX(ReportAssetWeightsBaseline,ROW()-ROW(J$95),1):INDEX(ReportAssetWeightsBaseline,ROW()-ROW(J$95),NumberOfAssets),INT(INDEX(tblAssetMenuSpecs[Is Equities Emerging Markets],1):(INDEX(tblAssetMenuSpecs[Is Equities Emerging Markets],NumberOfAssets))))</f>
        <v>0</v>
      </c>
      <c r="P105" s="280">
        <f>MMULT(INDEX(ReportAssetWeightsBaseline,ROW()-ROW(K$95),1):INDEX(ReportAssetWeightsBaseline,ROW()-ROW(K$95),NumberOfAssets),INT(INDEX(tblAssetMenuSpecs[Is Commodities],1):(INDEX(tblAssetMenuSpecs[Is Commodities],NumberOfAssets))))</f>
        <v>0</v>
      </c>
      <c r="Q105" s="280">
        <f>MMULT(INDEX(ReportAssetWeightsBaseline,ROW()-ROW(L$95),1):INDEX(ReportAssetWeightsBaseline,ROW()-ROW(L$95),NumberOfAssets),INT(INDEX(tblAssetMenuSpecs[Is Private Equity],1):(INDEX(tblAssetMenuSpecs[Is Private Equity],NumberOfAssets))))</f>
        <v>0</v>
      </c>
      <c r="R105" s="280">
        <f>MMULT(INDEX(ReportAssetWeightsBaseline,ROW()-ROW(M$95),1):INDEX(ReportAssetWeightsBaseline,ROW()-ROW(M$95),NumberOfAssets),INT(INDEX(tblAssetMenuSpecs[Is Hedge Funds],1):(INDEX(tblAssetMenuSpecs[Is Hedge Funds],NumberOfAssets))))</f>
        <v>0</v>
      </c>
      <c r="S105" s="280">
        <f>MMULT(INDEX(ReportAssetWeightsBaseline,ROW()-ROW(N$95),1):INDEX(ReportAssetWeightsBaseline,ROW()-ROW(N$95),NumberOfAssets),INT(INDEX(tblAssetMenuSpecs[Is Real Estate EU],1):(INDEX(tblAssetMenuSpecs[Is Real Estate EU],NumberOfAssets))))</f>
        <v>0</v>
      </c>
      <c r="T105" s="280">
        <f>MMULT(INDEX(ReportAssetWeightsBaseline,ROW()-ROW(O$95),1):INDEX(ReportAssetWeightsBaseline,ROW()-ROW(O$95),NumberOfAssets),INT(INDEX(tblAssetMenuSpecs[Is Real Estate US],1):(INDEX(tblAssetMenuSpecs[Is Real Estate US],NumberOfAssets))))</f>
        <v>0</v>
      </c>
      <c r="U105" s="280">
        <f>MMULT(INDEX(ReportAssetWeightsBaseline,ROW()-ROW(P$95),1):INDEX(ReportAssetWeightsBaseline,ROW()-ROW(P$95),NumberOfAssets),INT(INDEX(tblAssetMenuSpecs[Is Real Estate Other Developed Markets],1):(INDEX(tblAssetMenuSpecs[Is Real Estate Other Developed Markets],NumberOfAssets))))</f>
        <v>0</v>
      </c>
      <c r="V105" s="280">
        <f>MMULT(INDEX(ReportAssetWeightsBaseline,ROW()-ROW(Q$95),1):INDEX(ReportAssetWeightsBaseline,ROW()-ROW(Q$95),NumberOfAssets),INT(INDEX(tblAssetMenuSpecs[Is Real Estate Commercial EU (non-leveraged)],1):(INDEX(tblAssetMenuSpecs[Is Real Estate Commercial EU (non-leveraged)],NumberOfAssets))))</f>
        <v>0</v>
      </c>
      <c r="W105" s="280">
        <f>MMULT(INDEX(ReportAssetWeightsBaseline,ROW()-ROW(P$95),1):INDEX(ReportAssetWeightsBaseline,ROW()-ROW(P$95),NumberOfAssets),INT(INDEX(tblAssetMenuSpecs[Is Real Estate Residential EU (non-leveraged)],1):(INDEX(tblAssetMenuSpecs[Is Real Estate Residential EU (non-leveraged)],NumberOfAssets))))</f>
        <v>0</v>
      </c>
      <c r="X105" s="280">
        <f>MMULT(INDEX(ReportAssetWeightsBaseline,ROW()-ROW(Q$95),1):INDEX(ReportAssetWeightsBaseline,ROW()-ROW(Q$95),NumberOfAssets),INT(INDEX(tblAssetMenuSpecs[Is Government Bond EU],1):(INDEX(tblAssetMenuSpecs[Is Government Bond EU],NumberOfAssets))))</f>
        <v>0</v>
      </c>
      <c r="Y105" s="280">
        <f>MMULT(INDEX(ReportAssetWeightsBaseline,ROW()-ROW(R$95),1):INDEX(ReportAssetWeightsBaseline,ROW()-ROW(R$95),NumberOfAssets),INT(INDEX(tblAssetMenuSpecs[Is Government Bond US],1):(INDEX(tblAssetMenuSpecs[Is Government Bond US],NumberOfAssets))))</f>
        <v>0</v>
      </c>
      <c r="Z105" s="280">
        <f>MMULT(INDEX(ReportAssetWeightsBaseline,ROW()-ROW(S$95),1):INDEX(ReportAssetWeightsBaseline,ROW()-ROW(S$95),NumberOfAssets),INT(INDEX(tblAssetMenuSpecs[Is Government Bond Other Developed Markets],1):(INDEX(tblAssetMenuSpecs[Is Government Bond Other Developed Markets],NumberOfAssets))))</f>
        <v>0</v>
      </c>
      <c r="AA105" s="280">
        <f>MMULT(INDEX(ReportAssetWeightsBaseline,ROW()-ROW(T$95),1):INDEX(ReportAssetWeightsBaseline,ROW()-ROW(T$95),NumberOfAssets),INT(INDEX(tblAssetMenuSpecs[Is Government Bond Emerging Markets],1):(INDEX(tblAssetMenuSpecs[Is Government Bond Emerging Markets],NumberOfAssets))))</f>
        <v>0</v>
      </c>
      <c r="AB105" s="280">
        <f>MMULT(INDEX(ReportAssetWeightsBaseline,ROW()-ROW(U$95),1):INDEX(ReportAssetWeightsBaseline,ROW()-ROW(U$95),NumberOfAssets),INT(INDEX(tblAssetMenuSpecs[Is Corporate Bond],1):(INDEX(tblAssetMenuSpecs[Is Corporate Bond],NumberOfAssets))))</f>
        <v>0</v>
      </c>
      <c r="AC105" s="280">
        <f>MMULT(INDEX(ReportAssetWeightsBaseline,ROW()-ROW(V$95),1):INDEX(ReportAssetWeightsBaseline,ROW()-ROW(V$95),NumberOfAssets),INT(INDEX(tblAssetMenuSpecs[Is Corporate Bond Non-Financial],1):(INDEX(tblAssetMenuSpecs[Is Corporate Bond Non-Financial],NumberOfAssets))))</f>
        <v>0</v>
      </c>
      <c r="AD105" s="280">
        <f>MMULT(INDEX(ReportAssetWeightsBaseline,ROW()-ROW(W$95),1):INDEX(ReportAssetWeightsBaseline,ROW()-ROW(W$95),NumberOfAssets),INT(INDEX(tblAssetMenuSpecs[Is Corporate Bond Financial],1):(INDEX(tblAssetMenuSpecs[Is Corporate Bond Financial],NumberOfAssets))))</f>
        <v>0</v>
      </c>
      <c r="AE105" s="280">
        <f>MMULT(INDEX(ReportAssetWeightsBaseline,ROW()-ROW(V$95),1):INDEX(ReportAssetWeightsBaseline,ROW()-ROW(V$95),NumberOfAssets),INT(INDEX(tblAssetMenuSpecs[Is Cash and Deposits],1):(INDEX(tblAssetMenuSpecs[Is Cash and Deposits],NumberOfAssets))))</f>
        <v>1</v>
      </c>
    </row>
    <row r="106" spans="6:31" x14ac:dyDescent="0.25">
      <c r="F106" s="278">
        <f t="shared" si="0"/>
        <v>10</v>
      </c>
      <c r="G106" s="279">
        <f>MMULT(INDEX(ReportAssetWeightsBaseline,ROW()-ROW(G$95),1):INDEX(ReportAssetWeightsBaseline,ROW()-ROW(G$95),NumberOfAssets),INT(INDEX(tblAssetMenuSpecs[IsEquities],1):(INDEX(tblAssetMenuSpecs[IsEquities],NumberOfAssets))))</f>
        <v>0</v>
      </c>
      <c r="H106" s="279">
        <f>MMULT(INDEX(ReportAssetWeightsBaseline,ROW()-ROW(H$95),1):INDEX(ReportAssetWeightsBaseline,ROW()-ROW(H$95),NumberOfAssets),INT(INDEX(tblAssetMenuSpecs[IsRealEstate],1):(INDEX(tblAssetMenuSpecs[IsRealEstate],NumberOfAssets))))</f>
        <v>0</v>
      </c>
      <c r="I106" s="279">
        <f>MMULT(INDEX(ReportAssetWeightsBaseline,ROW()-ROW(I$95),1):INDEX(ReportAssetWeightsBaseline,ROW()-ROW(I$95),NumberOfAssets),INT(INDEX(tblAssetMenuSpecs[IsAlternatives],1):(INDEX(tblAssetMenuSpecs[IsAlternatives],NumberOfAssets))))</f>
        <v>0</v>
      </c>
      <c r="J106" s="279">
        <f>MMULT(INDEX(ReportAssetWeightsBaseline,ROW()-ROW(J$95),1):INDEX(ReportAssetWeightsBaseline,ROW()-ROW(J$95),NumberOfAssets),INT(INDEX(tblAssetMenuSpecs[IsFixedIncome],1):(INDEX(tblAssetMenuSpecs[IsFixedIncome],NumberOfAssets))))</f>
        <v>1</v>
      </c>
      <c r="L106" s="280">
        <f>MMULT(INDEX(ReportAssetWeightsBaseline,ROW()-ROW(G$95),1):INDEX(ReportAssetWeightsBaseline,ROW()-ROW(G$95),NumberOfAssets),INT(INDEX(tblAssetMenuSpecs[Is Equities EU],1):(INDEX(tblAssetMenuSpecs[Is Equities EU],NumberOfAssets))))</f>
        <v>0</v>
      </c>
      <c r="M106" s="280">
        <f>MMULT(INDEX(ReportAssetWeightsBaseline,ROW()-ROW(H$95),1):INDEX(ReportAssetWeightsBaseline,ROW()-ROW(H$95),NumberOfAssets),INT(INDEX(tblAssetMenuSpecs[Is Equities US],1):(INDEX(tblAssetMenuSpecs[Is Equities US],NumberOfAssets))))</f>
        <v>0</v>
      </c>
      <c r="N106" s="280">
        <f>MMULT(INDEX(ReportAssetWeightsBaseline,ROW()-ROW(I$95),1):INDEX(ReportAssetWeightsBaseline,ROW()-ROW(I$95),NumberOfAssets),INT(INDEX(tblAssetMenuSpecs[Is Equities Other Developed Markets],1):(INDEX(tblAssetMenuSpecs[Is Equities Other Developed Markets],NumberOfAssets))))</f>
        <v>0</v>
      </c>
      <c r="O106" s="280">
        <f>MMULT(INDEX(ReportAssetWeightsBaseline,ROW()-ROW(J$95),1):INDEX(ReportAssetWeightsBaseline,ROW()-ROW(J$95),NumberOfAssets),INT(INDEX(tblAssetMenuSpecs[Is Equities Emerging Markets],1):(INDEX(tblAssetMenuSpecs[Is Equities Emerging Markets],NumberOfAssets))))</f>
        <v>0</v>
      </c>
      <c r="P106" s="280">
        <f>MMULT(INDEX(ReportAssetWeightsBaseline,ROW()-ROW(K$95),1):INDEX(ReportAssetWeightsBaseline,ROW()-ROW(K$95),NumberOfAssets),INT(INDEX(tblAssetMenuSpecs[Is Commodities],1):(INDEX(tblAssetMenuSpecs[Is Commodities],NumberOfAssets))))</f>
        <v>0</v>
      </c>
      <c r="Q106" s="280">
        <f>MMULT(INDEX(ReportAssetWeightsBaseline,ROW()-ROW(L$95),1):INDEX(ReportAssetWeightsBaseline,ROW()-ROW(L$95),NumberOfAssets),INT(INDEX(tblAssetMenuSpecs[Is Private Equity],1):(INDEX(tblAssetMenuSpecs[Is Private Equity],NumberOfAssets))))</f>
        <v>0</v>
      </c>
      <c r="R106" s="280">
        <f>MMULT(INDEX(ReportAssetWeightsBaseline,ROW()-ROW(M$95),1):INDEX(ReportAssetWeightsBaseline,ROW()-ROW(M$95),NumberOfAssets),INT(INDEX(tblAssetMenuSpecs[Is Hedge Funds],1):(INDEX(tblAssetMenuSpecs[Is Hedge Funds],NumberOfAssets))))</f>
        <v>0</v>
      </c>
      <c r="S106" s="280">
        <f>MMULT(INDEX(ReportAssetWeightsBaseline,ROW()-ROW(N$95),1):INDEX(ReportAssetWeightsBaseline,ROW()-ROW(N$95),NumberOfAssets),INT(INDEX(tblAssetMenuSpecs[Is Real Estate EU],1):(INDEX(tblAssetMenuSpecs[Is Real Estate EU],NumberOfAssets))))</f>
        <v>0</v>
      </c>
      <c r="T106" s="280">
        <f>MMULT(INDEX(ReportAssetWeightsBaseline,ROW()-ROW(O$95),1):INDEX(ReportAssetWeightsBaseline,ROW()-ROW(O$95),NumberOfAssets),INT(INDEX(tblAssetMenuSpecs[Is Real Estate US],1):(INDEX(tblAssetMenuSpecs[Is Real Estate US],NumberOfAssets))))</f>
        <v>0</v>
      </c>
      <c r="U106" s="280">
        <f>MMULT(INDEX(ReportAssetWeightsBaseline,ROW()-ROW(P$95),1):INDEX(ReportAssetWeightsBaseline,ROW()-ROW(P$95),NumberOfAssets),INT(INDEX(tblAssetMenuSpecs[Is Real Estate Other Developed Markets],1):(INDEX(tblAssetMenuSpecs[Is Real Estate Other Developed Markets],NumberOfAssets))))</f>
        <v>0</v>
      </c>
      <c r="V106" s="280">
        <f>MMULT(INDEX(ReportAssetWeightsBaseline,ROW()-ROW(Q$95),1):INDEX(ReportAssetWeightsBaseline,ROW()-ROW(Q$95),NumberOfAssets),INT(INDEX(tblAssetMenuSpecs[Is Real Estate Commercial EU (non-leveraged)],1):(INDEX(tblAssetMenuSpecs[Is Real Estate Commercial EU (non-leveraged)],NumberOfAssets))))</f>
        <v>0</v>
      </c>
      <c r="W106" s="280">
        <f>MMULT(INDEX(ReportAssetWeightsBaseline,ROW()-ROW(P$95),1):INDEX(ReportAssetWeightsBaseline,ROW()-ROW(P$95),NumberOfAssets),INT(INDEX(tblAssetMenuSpecs[Is Real Estate Residential EU (non-leveraged)],1):(INDEX(tblAssetMenuSpecs[Is Real Estate Residential EU (non-leveraged)],NumberOfAssets))))</f>
        <v>0</v>
      </c>
      <c r="X106" s="280">
        <f>MMULT(INDEX(ReportAssetWeightsBaseline,ROW()-ROW(Q$95),1):INDEX(ReportAssetWeightsBaseline,ROW()-ROW(Q$95),NumberOfAssets),INT(INDEX(tblAssetMenuSpecs[Is Government Bond EU],1):(INDEX(tblAssetMenuSpecs[Is Government Bond EU],NumberOfAssets))))</f>
        <v>0</v>
      </c>
      <c r="Y106" s="280">
        <f>MMULT(INDEX(ReportAssetWeightsBaseline,ROW()-ROW(R$95),1):INDEX(ReportAssetWeightsBaseline,ROW()-ROW(R$95),NumberOfAssets),INT(INDEX(tblAssetMenuSpecs[Is Government Bond US],1):(INDEX(tblAssetMenuSpecs[Is Government Bond US],NumberOfAssets))))</f>
        <v>0</v>
      </c>
      <c r="Z106" s="280">
        <f>MMULT(INDEX(ReportAssetWeightsBaseline,ROW()-ROW(S$95),1):INDEX(ReportAssetWeightsBaseline,ROW()-ROW(S$95),NumberOfAssets),INT(INDEX(tblAssetMenuSpecs[Is Government Bond Other Developed Markets],1):(INDEX(tblAssetMenuSpecs[Is Government Bond Other Developed Markets],NumberOfAssets))))</f>
        <v>0</v>
      </c>
      <c r="AA106" s="280">
        <f>MMULT(INDEX(ReportAssetWeightsBaseline,ROW()-ROW(T$95),1):INDEX(ReportAssetWeightsBaseline,ROW()-ROW(T$95),NumberOfAssets),INT(INDEX(tblAssetMenuSpecs[Is Government Bond Emerging Markets],1):(INDEX(tblAssetMenuSpecs[Is Government Bond Emerging Markets],NumberOfAssets))))</f>
        <v>0</v>
      </c>
      <c r="AB106" s="280">
        <f>MMULT(INDEX(ReportAssetWeightsBaseline,ROW()-ROW(U$95),1):INDEX(ReportAssetWeightsBaseline,ROW()-ROW(U$95),NumberOfAssets),INT(INDEX(tblAssetMenuSpecs[Is Corporate Bond],1):(INDEX(tblAssetMenuSpecs[Is Corporate Bond],NumberOfAssets))))</f>
        <v>0</v>
      </c>
      <c r="AC106" s="280">
        <f>MMULT(INDEX(ReportAssetWeightsBaseline,ROW()-ROW(V$95),1):INDEX(ReportAssetWeightsBaseline,ROW()-ROW(V$95),NumberOfAssets),INT(INDEX(tblAssetMenuSpecs[Is Corporate Bond Non-Financial],1):(INDEX(tblAssetMenuSpecs[Is Corporate Bond Non-Financial],NumberOfAssets))))</f>
        <v>0</v>
      </c>
      <c r="AD106" s="280">
        <f>MMULT(INDEX(ReportAssetWeightsBaseline,ROW()-ROW(W$95),1):INDEX(ReportAssetWeightsBaseline,ROW()-ROW(W$95),NumberOfAssets),INT(INDEX(tblAssetMenuSpecs[Is Corporate Bond Financial],1):(INDEX(tblAssetMenuSpecs[Is Corporate Bond Financial],NumberOfAssets))))</f>
        <v>0</v>
      </c>
      <c r="AE106" s="280">
        <f>MMULT(INDEX(ReportAssetWeightsBaseline,ROW()-ROW(V$95),1):INDEX(ReportAssetWeightsBaseline,ROW()-ROW(V$95),NumberOfAssets),INT(INDEX(tblAssetMenuSpecs[Is Cash and Deposits],1):(INDEX(tblAssetMenuSpecs[Is Cash and Deposits],NumberOfAssets))))</f>
        <v>1</v>
      </c>
    </row>
    <row r="107" spans="6:31" x14ac:dyDescent="0.25">
      <c r="F107" s="278">
        <f t="shared" si="0"/>
        <v>9</v>
      </c>
      <c r="G107" s="279">
        <f>MMULT(INDEX(ReportAssetWeightsBaseline,ROW()-ROW(G$95),1):INDEX(ReportAssetWeightsBaseline,ROW()-ROW(G$95),NumberOfAssets),INT(INDEX(tblAssetMenuSpecs[IsEquities],1):(INDEX(tblAssetMenuSpecs[IsEquities],NumberOfAssets))))</f>
        <v>0</v>
      </c>
      <c r="H107" s="279">
        <f>MMULT(INDEX(ReportAssetWeightsBaseline,ROW()-ROW(H$95),1):INDEX(ReportAssetWeightsBaseline,ROW()-ROW(H$95),NumberOfAssets),INT(INDEX(tblAssetMenuSpecs[IsRealEstate],1):(INDEX(tblAssetMenuSpecs[IsRealEstate],NumberOfAssets))))</f>
        <v>0</v>
      </c>
      <c r="I107" s="279">
        <f>MMULT(INDEX(ReportAssetWeightsBaseline,ROW()-ROW(I$95),1):INDEX(ReportAssetWeightsBaseline,ROW()-ROW(I$95),NumberOfAssets),INT(INDEX(tblAssetMenuSpecs[IsAlternatives],1):(INDEX(tblAssetMenuSpecs[IsAlternatives],NumberOfAssets))))</f>
        <v>0</v>
      </c>
      <c r="J107" s="279">
        <f>MMULT(INDEX(ReportAssetWeightsBaseline,ROW()-ROW(J$95),1):INDEX(ReportAssetWeightsBaseline,ROW()-ROW(J$95),NumberOfAssets),INT(INDEX(tblAssetMenuSpecs[IsFixedIncome],1):(INDEX(tblAssetMenuSpecs[IsFixedIncome],NumberOfAssets))))</f>
        <v>1</v>
      </c>
      <c r="L107" s="280">
        <f>MMULT(INDEX(ReportAssetWeightsBaseline,ROW()-ROW(G$95),1):INDEX(ReportAssetWeightsBaseline,ROW()-ROW(G$95),NumberOfAssets),INT(INDEX(tblAssetMenuSpecs[Is Equities EU],1):(INDEX(tblAssetMenuSpecs[Is Equities EU],NumberOfAssets))))</f>
        <v>0</v>
      </c>
      <c r="M107" s="280">
        <f>MMULT(INDEX(ReportAssetWeightsBaseline,ROW()-ROW(H$95),1):INDEX(ReportAssetWeightsBaseline,ROW()-ROW(H$95),NumberOfAssets),INT(INDEX(tblAssetMenuSpecs[Is Equities US],1):(INDEX(tblAssetMenuSpecs[Is Equities US],NumberOfAssets))))</f>
        <v>0</v>
      </c>
      <c r="N107" s="280">
        <f>MMULT(INDEX(ReportAssetWeightsBaseline,ROW()-ROW(I$95),1):INDEX(ReportAssetWeightsBaseline,ROW()-ROW(I$95),NumberOfAssets),INT(INDEX(tblAssetMenuSpecs[Is Equities Other Developed Markets],1):(INDEX(tblAssetMenuSpecs[Is Equities Other Developed Markets],NumberOfAssets))))</f>
        <v>0</v>
      </c>
      <c r="O107" s="280">
        <f>MMULT(INDEX(ReportAssetWeightsBaseline,ROW()-ROW(J$95),1):INDEX(ReportAssetWeightsBaseline,ROW()-ROW(J$95),NumberOfAssets),INT(INDEX(tblAssetMenuSpecs[Is Equities Emerging Markets],1):(INDEX(tblAssetMenuSpecs[Is Equities Emerging Markets],NumberOfAssets))))</f>
        <v>0</v>
      </c>
      <c r="P107" s="280">
        <f>MMULT(INDEX(ReportAssetWeightsBaseline,ROW()-ROW(K$95),1):INDEX(ReportAssetWeightsBaseline,ROW()-ROW(K$95),NumberOfAssets),INT(INDEX(tblAssetMenuSpecs[Is Commodities],1):(INDEX(tblAssetMenuSpecs[Is Commodities],NumberOfAssets))))</f>
        <v>0</v>
      </c>
      <c r="Q107" s="280">
        <f>MMULT(INDEX(ReportAssetWeightsBaseline,ROW()-ROW(L$95),1):INDEX(ReportAssetWeightsBaseline,ROW()-ROW(L$95),NumberOfAssets),INT(INDEX(tblAssetMenuSpecs[Is Private Equity],1):(INDEX(tblAssetMenuSpecs[Is Private Equity],NumberOfAssets))))</f>
        <v>0</v>
      </c>
      <c r="R107" s="280">
        <f>MMULT(INDEX(ReportAssetWeightsBaseline,ROW()-ROW(M$95),1):INDEX(ReportAssetWeightsBaseline,ROW()-ROW(M$95),NumberOfAssets),INT(INDEX(tblAssetMenuSpecs[Is Hedge Funds],1):(INDEX(tblAssetMenuSpecs[Is Hedge Funds],NumberOfAssets))))</f>
        <v>0</v>
      </c>
      <c r="S107" s="280">
        <f>MMULT(INDEX(ReportAssetWeightsBaseline,ROW()-ROW(N$95),1):INDEX(ReportAssetWeightsBaseline,ROW()-ROW(N$95),NumberOfAssets),INT(INDEX(tblAssetMenuSpecs[Is Real Estate EU],1):(INDEX(tblAssetMenuSpecs[Is Real Estate EU],NumberOfAssets))))</f>
        <v>0</v>
      </c>
      <c r="T107" s="280">
        <f>MMULT(INDEX(ReportAssetWeightsBaseline,ROW()-ROW(O$95),1):INDEX(ReportAssetWeightsBaseline,ROW()-ROW(O$95),NumberOfAssets),INT(INDEX(tblAssetMenuSpecs[Is Real Estate US],1):(INDEX(tblAssetMenuSpecs[Is Real Estate US],NumberOfAssets))))</f>
        <v>0</v>
      </c>
      <c r="U107" s="280">
        <f>MMULT(INDEX(ReportAssetWeightsBaseline,ROW()-ROW(P$95),1):INDEX(ReportAssetWeightsBaseline,ROW()-ROW(P$95),NumberOfAssets),INT(INDEX(tblAssetMenuSpecs[Is Real Estate Other Developed Markets],1):(INDEX(tblAssetMenuSpecs[Is Real Estate Other Developed Markets],NumberOfAssets))))</f>
        <v>0</v>
      </c>
      <c r="V107" s="280">
        <f>MMULT(INDEX(ReportAssetWeightsBaseline,ROW()-ROW(Q$95),1):INDEX(ReportAssetWeightsBaseline,ROW()-ROW(Q$95),NumberOfAssets),INT(INDEX(tblAssetMenuSpecs[Is Real Estate Commercial EU (non-leveraged)],1):(INDEX(tblAssetMenuSpecs[Is Real Estate Commercial EU (non-leveraged)],NumberOfAssets))))</f>
        <v>0</v>
      </c>
      <c r="W107" s="280">
        <f>MMULT(INDEX(ReportAssetWeightsBaseline,ROW()-ROW(P$95),1):INDEX(ReportAssetWeightsBaseline,ROW()-ROW(P$95),NumberOfAssets),INT(INDEX(tblAssetMenuSpecs[Is Real Estate Residential EU (non-leveraged)],1):(INDEX(tblAssetMenuSpecs[Is Real Estate Residential EU (non-leveraged)],NumberOfAssets))))</f>
        <v>0</v>
      </c>
      <c r="X107" s="280">
        <f>MMULT(INDEX(ReportAssetWeightsBaseline,ROW()-ROW(Q$95),1):INDEX(ReportAssetWeightsBaseline,ROW()-ROW(Q$95),NumberOfAssets),INT(INDEX(tblAssetMenuSpecs[Is Government Bond EU],1):(INDEX(tblAssetMenuSpecs[Is Government Bond EU],NumberOfAssets))))</f>
        <v>0</v>
      </c>
      <c r="Y107" s="280">
        <f>MMULT(INDEX(ReportAssetWeightsBaseline,ROW()-ROW(R$95),1):INDEX(ReportAssetWeightsBaseline,ROW()-ROW(R$95),NumberOfAssets),INT(INDEX(tblAssetMenuSpecs[Is Government Bond US],1):(INDEX(tblAssetMenuSpecs[Is Government Bond US],NumberOfAssets))))</f>
        <v>0</v>
      </c>
      <c r="Z107" s="280">
        <f>MMULT(INDEX(ReportAssetWeightsBaseline,ROW()-ROW(S$95),1):INDEX(ReportAssetWeightsBaseline,ROW()-ROW(S$95),NumberOfAssets),INT(INDEX(tblAssetMenuSpecs[Is Government Bond Other Developed Markets],1):(INDEX(tblAssetMenuSpecs[Is Government Bond Other Developed Markets],NumberOfAssets))))</f>
        <v>0</v>
      </c>
      <c r="AA107" s="280">
        <f>MMULT(INDEX(ReportAssetWeightsBaseline,ROW()-ROW(T$95),1):INDEX(ReportAssetWeightsBaseline,ROW()-ROW(T$95),NumberOfAssets),INT(INDEX(tblAssetMenuSpecs[Is Government Bond Emerging Markets],1):(INDEX(tblAssetMenuSpecs[Is Government Bond Emerging Markets],NumberOfAssets))))</f>
        <v>0</v>
      </c>
      <c r="AB107" s="280">
        <f>MMULT(INDEX(ReportAssetWeightsBaseline,ROW()-ROW(U$95),1):INDEX(ReportAssetWeightsBaseline,ROW()-ROW(U$95),NumberOfAssets),INT(INDEX(tblAssetMenuSpecs[Is Corporate Bond],1):(INDEX(tblAssetMenuSpecs[Is Corporate Bond],NumberOfAssets))))</f>
        <v>0</v>
      </c>
      <c r="AC107" s="280">
        <f>MMULT(INDEX(ReportAssetWeightsBaseline,ROW()-ROW(V$95),1):INDEX(ReportAssetWeightsBaseline,ROW()-ROW(V$95),NumberOfAssets),INT(INDEX(tblAssetMenuSpecs[Is Corporate Bond Non-Financial],1):(INDEX(tblAssetMenuSpecs[Is Corporate Bond Non-Financial],NumberOfAssets))))</f>
        <v>0</v>
      </c>
      <c r="AD107" s="280">
        <f>MMULT(INDEX(ReportAssetWeightsBaseline,ROW()-ROW(W$95),1):INDEX(ReportAssetWeightsBaseline,ROW()-ROW(W$95),NumberOfAssets),INT(INDEX(tblAssetMenuSpecs[Is Corporate Bond Financial],1):(INDEX(tblAssetMenuSpecs[Is Corporate Bond Financial],NumberOfAssets))))</f>
        <v>0</v>
      </c>
      <c r="AE107" s="280">
        <f>MMULT(INDEX(ReportAssetWeightsBaseline,ROW()-ROW(V$95),1):INDEX(ReportAssetWeightsBaseline,ROW()-ROW(V$95),NumberOfAssets),INT(INDEX(tblAssetMenuSpecs[Is Cash and Deposits],1):(INDEX(tblAssetMenuSpecs[Is Cash and Deposits],NumberOfAssets))))</f>
        <v>1</v>
      </c>
    </row>
    <row r="108" spans="6:31" x14ac:dyDescent="0.25">
      <c r="F108" s="278">
        <f t="shared" si="0"/>
        <v>8</v>
      </c>
      <c r="G108" s="279">
        <f>MMULT(INDEX(ReportAssetWeightsBaseline,ROW()-ROW(G$95),1):INDEX(ReportAssetWeightsBaseline,ROW()-ROW(G$95),NumberOfAssets),INT(INDEX(tblAssetMenuSpecs[IsEquities],1):(INDEX(tblAssetMenuSpecs[IsEquities],NumberOfAssets))))</f>
        <v>0</v>
      </c>
      <c r="H108" s="279">
        <f>MMULT(INDEX(ReportAssetWeightsBaseline,ROW()-ROW(H$95),1):INDEX(ReportAssetWeightsBaseline,ROW()-ROW(H$95),NumberOfAssets),INT(INDEX(tblAssetMenuSpecs[IsRealEstate],1):(INDEX(tblAssetMenuSpecs[IsRealEstate],NumberOfAssets))))</f>
        <v>0</v>
      </c>
      <c r="I108" s="279">
        <f>MMULT(INDEX(ReportAssetWeightsBaseline,ROW()-ROW(I$95),1):INDEX(ReportAssetWeightsBaseline,ROW()-ROW(I$95),NumberOfAssets),INT(INDEX(tblAssetMenuSpecs[IsAlternatives],1):(INDEX(tblAssetMenuSpecs[IsAlternatives],NumberOfAssets))))</f>
        <v>0</v>
      </c>
      <c r="J108" s="279">
        <f>MMULT(INDEX(ReportAssetWeightsBaseline,ROW()-ROW(J$95),1):INDEX(ReportAssetWeightsBaseline,ROW()-ROW(J$95),NumberOfAssets),INT(INDEX(tblAssetMenuSpecs[IsFixedIncome],1):(INDEX(tblAssetMenuSpecs[IsFixedIncome],NumberOfAssets))))</f>
        <v>1</v>
      </c>
      <c r="L108" s="280">
        <f>MMULT(INDEX(ReportAssetWeightsBaseline,ROW()-ROW(G$95),1):INDEX(ReportAssetWeightsBaseline,ROW()-ROW(G$95),NumberOfAssets),INT(INDEX(tblAssetMenuSpecs[Is Equities EU],1):(INDEX(tblAssetMenuSpecs[Is Equities EU],NumberOfAssets))))</f>
        <v>0</v>
      </c>
      <c r="M108" s="280">
        <f>MMULT(INDEX(ReportAssetWeightsBaseline,ROW()-ROW(H$95),1):INDEX(ReportAssetWeightsBaseline,ROW()-ROW(H$95),NumberOfAssets),INT(INDEX(tblAssetMenuSpecs[Is Equities US],1):(INDEX(tblAssetMenuSpecs[Is Equities US],NumberOfAssets))))</f>
        <v>0</v>
      </c>
      <c r="N108" s="280">
        <f>MMULT(INDEX(ReportAssetWeightsBaseline,ROW()-ROW(I$95),1):INDEX(ReportAssetWeightsBaseline,ROW()-ROW(I$95),NumberOfAssets),INT(INDEX(tblAssetMenuSpecs[Is Equities Other Developed Markets],1):(INDEX(tblAssetMenuSpecs[Is Equities Other Developed Markets],NumberOfAssets))))</f>
        <v>0</v>
      </c>
      <c r="O108" s="280">
        <f>MMULT(INDEX(ReportAssetWeightsBaseline,ROW()-ROW(J$95),1):INDEX(ReportAssetWeightsBaseline,ROW()-ROW(J$95),NumberOfAssets),INT(INDEX(tblAssetMenuSpecs[Is Equities Emerging Markets],1):(INDEX(tblAssetMenuSpecs[Is Equities Emerging Markets],NumberOfAssets))))</f>
        <v>0</v>
      </c>
      <c r="P108" s="280">
        <f>MMULT(INDEX(ReportAssetWeightsBaseline,ROW()-ROW(K$95),1):INDEX(ReportAssetWeightsBaseline,ROW()-ROW(K$95),NumberOfAssets),INT(INDEX(tblAssetMenuSpecs[Is Commodities],1):(INDEX(tblAssetMenuSpecs[Is Commodities],NumberOfAssets))))</f>
        <v>0</v>
      </c>
      <c r="Q108" s="280">
        <f>MMULT(INDEX(ReportAssetWeightsBaseline,ROW()-ROW(L$95),1):INDEX(ReportAssetWeightsBaseline,ROW()-ROW(L$95),NumberOfAssets),INT(INDEX(tblAssetMenuSpecs[Is Private Equity],1):(INDEX(tblAssetMenuSpecs[Is Private Equity],NumberOfAssets))))</f>
        <v>0</v>
      </c>
      <c r="R108" s="280">
        <f>MMULT(INDEX(ReportAssetWeightsBaseline,ROW()-ROW(M$95),1):INDEX(ReportAssetWeightsBaseline,ROW()-ROW(M$95),NumberOfAssets),INT(INDEX(tblAssetMenuSpecs[Is Hedge Funds],1):(INDEX(tblAssetMenuSpecs[Is Hedge Funds],NumberOfAssets))))</f>
        <v>0</v>
      </c>
      <c r="S108" s="280">
        <f>MMULT(INDEX(ReportAssetWeightsBaseline,ROW()-ROW(N$95),1):INDEX(ReportAssetWeightsBaseline,ROW()-ROW(N$95),NumberOfAssets),INT(INDEX(tblAssetMenuSpecs[Is Real Estate EU],1):(INDEX(tblAssetMenuSpecs[Is Real Estate EU],NumberOfAssets))))</f>
        <v>0</v>
      </c>
      <c r="T108" s="280">
        <f>MMULT(INDEX(ReportAssetWeightsBaseline,ROW()-ROW(O$95),1):INDEX(ReportAssetWeightsBaseline,ROW()-ROW(O$95),NumberOfAssets),INT(INDEX(tblAssetMenuSpecs[Is Real Estate US],1):(INDEX(tblAssetMenuSpecs[Is Real Estate US],NumberOfAssets))))</f>
        <v>0</v>
      </c>
      <c r="U108" s="280">
        <f>MMULT(INDEX(ReportAssetWeightsBaseline,ROW()-ROW(P$95),1):INDEX(ReportAssetWeightsBaseline,ROW()-ROW(P$95),NumberOfAssets),INT(INDEX(tblAssetMenuSpecs[Is Real Estate Other Developed Markets],1):(INDEX(tblAssetMenuSpecs[Is Real Estate Other Developed Markets],NumberOfAssets))))</f>
        <v>0</v>
      </c>
      <c r="V108" s="280">
        <f>MMULT(INDEX(ReportAssetWeightsBaseline,ROW()-ROW(Q$95),1):INDEX(ReportAssetWeightsBaseline,ROW()-ROW(Q$95),NumberOfAssets),INT(INDEX(tblAssetMenuSpecs[Is Real Estate Commercial EU (non-leveraged)],1):(INDEX(tblAssetMenuSpecs[Is Real Estate Commercial EU (non-leveraged)],NumberOfAssets))))</f>
        <v>0</v>
      </c>
      <c r="W108" s="280">
        <f>MMULT(INDEX(ReportAssetWeightsBaseline,ROW()-ROW(P$95),1):INDEX(ReportAssetWeightsBaseline,ROW()-ROW(P$95),NumberOfAssets),INT(INDEX(tblAssetMenuSpecs[Is Real Estate Residential EU (non-leveraged)],1):(INDEX(tblAssetMenuSpecs[Is Real Estate Residential EU (non-leveraged)],NumberOfAssets))))</f>
        <v>0</v>
      </c>
      <c r="X108" s="280">
        <f>MMULT(INDEX(ReportAssetWeightsBaseline,ROW()-ROW(Q$95),1):INDEX(ReportAssetWeightsBaseline,ROW()-ROW(Q$95),NumberOfAssets),INT(INDEX(tblAssetMenuSpecs[Is Government Bond EU],1):(INDEX(tblAssetMenuSpecs[Is Government Bond EU],NumberOfAssets))))</f>
        <v>0</v>
      </c>
      <c r="Y108" s="280">
        <f>MMULT(INDEX(ReportAssetWeightsBaseline,ROW()-ROW(R$95),1):INDEX(ReportAssetWeightsBaseline,ROW()-ROW(R$95),NumberOfAssets),INT(INDEX(tblAssetMenuSpecs[Is Government Bond US],1):(INDEX(tblAssetMenuSpecs[Is Government Bond US],NumberOfAssets))))</f>
        <v>0</v>
      </c>
      <c r="Z108" s="280">
        <f>MMULT(INDEX(ReportAssetWeightsBaseline,ROW()-ROW(S$95),1):INDEX(ReportAssetWeightsBaseline,ROW()-ROW(S$95),NumberOfAssets),INT(INDEX(tblAssetMenuSpecs[Is Government Bond Other Developed Markets],1):(INDEX(tblAssetMenuSpecs[Is Government Bond Other Developed Markets],NumberOfAssets))))</f>
        <v>0</v>
      </c>
      <c r="AA108" s="280">
        <f>MMULT(INDEX(ReportAssetWeightsBaseline,ROW()-ROW(T$95),1):INDEX(ReportAssetWeightsBaseline,ROW()-ROW(T$95),NumberOfAssets),INT(INDEX(tblAssetMenuSpecs[Is Government Bond Emerging Markets],1):(INDEX(tblAssetMenuSpecs[Is Government Bond Emerging Markets],NumberOfAssets))))</f>
        <v>0</v>
      </c>
      <c r="AB108" s="280">
        <f>MMULT(INDEX(ReportAssetWeightsBaseline,ROW()-ROW(U$95),1):INDEX(ReportAssetWeightsBaseline,ROW()-ROW(U$95),NumberOfAssets),INT(INDEX(tblAssetMenuSpecs[Is Corporate Bond],1):(INDEX(tblAssetMenuSpecs[Is Corporate Bond],NumberOfAssets))))</f>
        <v>0</v>
      </c>
      <c r="AC108" s="280">
        <f>MMULT(INDEX(ReportAssetWeightsBaseline,ROW()-ROW(V$95),1):INDEX(ReportAssetWeightsBaseline,ROW()-ROW(V$95),NumberOfAssets),INT(INDEX(tblAssetMenuSpecs[Is Corporate Bond Non-Financial],1):(INDEX(tblAssetMenuSpecs[Is Corporate Bond Non-Financial],NumberOfAssets))))</f>
        <v>0</v>
      </c>
      <c r="AD108" s="280">
        <f>MMULT(INDEX(ReportAssetWeightsBaseline,ROW()-ROW(W$95),1):INDEX(ReportAssetWeightsBaseline,ROW()-ROW(W$95),NumberOfAssets),INT(INDEX(tblAssetMenuSpecs[Is Corporate Bond Financial],1):(INDEX(tblAssetMenuSpecs[Is Corporate Bond Financial],NumberOfAssets))))</f>
        <v>0</v>
      </c>
      <c r="AE108" s="280">
        <f>MMULT(INDEX(ReportAssetWeightsBaseline,ROW()-ROW(V$95),1):INDEX(ReportAssetWeightsBaseline,ROW()-ROW(V$95),NumberOfAssets),INT(INDEX(tblAssetMenuSpecs[Is Cash and Deposits],1):(INDEX(tblAssetMenuSpecs[Is Cash and Deposits],NumberOfAssets))))</f>
        <v>1</v>
      </c>
    </row>
    <row r="109" spans="6:31" x14ac:dyDescent="0.25">
      <c r="F109" s="278">
        <f t="shared" si="0"/>
        <v>7</v>
      </c>
      <c r="G109" s="279">
        <f>MMULT(INDEX(ReportAssetWeightsBaseline,ROW()-ROW(G$95),1):INDEX(ReportAssetWeightsBaseline,ROW()-ROW(G$95),NumberOfAssets),INT(INDEX(tblAssetMenuSpecs[IsEquities],1):(INDEX(tblAssetMenuSpecs[IsEquities],NumberOfAssets))))</f>
        <v>0</v>
      </c>
      <c r="H109" s="279">
        <f>MMULT(INDEX(ReportAssetWeightsBaseline,ROW()-ROW(H$95),1):INDEX(ReportAssetWeightsBaseline,ROW()-ROW(H$95),NumberOfAssets),INT(INDEX(tblAssetMenuSpecs[IsRealEstate],1):(INDEX(tblAssetMenuSpecs[IsRealEstate],NumberOfAssets))))</f>
        <v>0</v>
      </c>
      <c r="I109" s="279">
        <f>MMULT(INDEX(ReportAssetWeightsBaseline,ROW()-ROW(I$95),1):INDEX(ReportAssetWeightsBaseline,ROW()-ROW(I$95),NumberOfAssets),INT(INDEX(tblAssetMenuSpecs[IsAlternatives],1):(INDEX(tblAssetMenuSpecs[IsAlternatives],NumberOfAssets))))</f>
        <v>0</v>
      </c>
      <c r="J109" s="279">
        <f>MMULT(INDEX(ReportAssetWeightsBaseline,ROW()-ROW(J$95),1):INDEX(ReportAssetWeightsBaseline,ROW()-ROW(J$95),NumberOfAssets),INT(INDEX(tblAssetMenuSpecs[IsFixedIncome],1):(INDEX(tblAssetMenuSpecs[IsFixedIncome],NumberOfAssets))))</f>
        <v>1</v>
      </c>
      <c r="L109" s="280">
        <f>MMULT(INDEX(ReportAssetWeightsBaseline,ROW()-ROW(G$95),1):INDEX(ReportAssetWeightsBaseline,ROW()-ROW(G$95),NumberOfAssets),INT(INDEX(tblAssetMenuSpecs[Is Equities EU],1):(INDEX(tblAssetMenuSpecs[Is Equities EU],NumberOfAssets))))</f>
        <v>0</v>
      </c>
      <c r="M109" s="280">
        <f>MMULT(INDEX(ReportAssetWeightsBaseline,ROW()-ROW(H$95),1):INDEX(ReportAssetWeightsBaseline,ROW()-ROW(H$95),NumberOfAssets),INT(INDEX(tblAssetMenuSpecs[Is Equities US],1):(INDEX(tblAssetMenuSpecs[Is Equities US],NumberOfAssets))))</f>
        <v>0</v>
      </c>
      <c r="N109" s="280">
        <f>MMULT(INDEX(ReportAssetWeightsBaseline,ROW()-ROW(I$95),1):INDEX(ReportAssetWeightsBaseline,ROW()-ROW(I$95),NumberOfAssets),INT(INDEX(tblAssetMenuSpecs[Is Equities Other Developed Markets],1):(INDEX(tblAssetMenuSpecs[Is Equities Other Developed Markets],NumberOfAssets))))</f>
        <v>0</v>
      </c>
      <c r="O109" s="280">
        <f>MMULT(INDEX(ReportAssetWeightsBaseline,ROW()-ROW(J$95),1):INDEX(ReportAssetWeightsBaseline,ROW()-ROW(J$95),NumberOfAssets),INT(INDEX(tblAssetMenuSpecs[Is Equities Emerging Markets],1):(INDEX(tblAssetMenuSpecs[Is Equities Emerging Markets],NumberOfAssets))))</f>
        <v>0</v>
      </c>
      <c r="P109" s="280">
        <f>MMULT(INDEX(ReportAssetWeightsBaseline,ROW()-ROW(K$95),1):INDEX(ReportAssetWeightsBaseline,ROW()-ROW(K$95),NumberOfAssets),INT(INDEX(tblAssetMenuSpecs[Is Commodities],1):(INDEX(tblAssetMenuSpecs[Is Commodities],NumberOfAssets))))</f>
        <v>0</v>
      </c>
      <c r="Q109" s="280">
        <f>MMULT(INDEX(ReportAssetWeightsBaseline,ROW()-ROW(L$95),1):INDEX(ReportAssetWeightsBaseline,ROW()-ROW(L$95),NumberOfAssets),INT(INDEX(tblAssetMenuSpecs[Is Private Equity],1):(INDEX(tblAssetMenuSpecs[Is Private Equity],NumberOfAssets))))</f>
        <v>0</v>
      </c>
      <c r="R109" s="280">
        <f>MMULT(INDEX(ReportAssetWeightsBaseline,ROW()-ROW(M$95),1):INDEX(ReportAssetWeightsBaseline,ROW()-ROW(M$95),NumberOfAssets),INT(INDEX(tblAssetMenuSpecs[Is Hedge Funds],1):(INDEX(tblAssetMenuSpecs[Is Hedge Funds],NumberOfAssets))))</f>
        <v>0</v>
      </c>
      <c r="S109" s="280">
        <f>MMULT(INDEX(ReportAssetWeightsBaseline,ROW()-ROW(N$95),1):INDEX(ReportAssetWeightsBaseline,ROW()-ROW(N$95),NumberOfAssets),INT(INDEX(tblAssetMenuSpecs[Is Real Estate EU],1):(INDEX(tblAssetMenuSpecs[Is Real Estate EU],NumberOfAssets))))</f>
        <v>0</v>
      </c>
      <c r="T109" s="280">
        <f>MMULT(INDEX(ReportAssetWeightsBaseline,ROW()-ROW(O$95),1):INDEX(ReportAssetWeightsBaseline,ROW()-ROW(O$95),NumberOfAssets),INT(INDEX(tblAssetMenuSpecs[Is Real Estate US],1):(INDEX(tblAssetMenuSpecs[Is Real Estate US],NumberOfAssets))))</f>
        <v>0</v>
      </c>
      <c r="U109" s="280">
        <f>MMULT(INDEX(ReportAssetWeightsBaseline,ROW()-ROW(P$95),1):INDEX(ReportAssetWeightsBaseline,ROW()-ROW(P$95),NumberOfAssets),INT(INDEX(tblAssetMenuSpecs[Is Real Estate Other Developed Markets],1):(INDEX(tblAssetMenuSpecs[Is Real Estate Other Developed Markets],NumberOfAssets))))</f>
        <v>0</v>
      </c>
      <c r="V109" s="280">
        <f>MMULT(INDEX(ReportAssetWeightsBaseline,ROW()-ROW(Q$95),1):INDEX(ReportAssetWeightsBaseline,ROW()-ROW(Q$95),NumberOfAssets),INT(INDEX(tblAssetMenuSpecs[Is Real Estate Commercial EU (non-leveraged)],1):(INDEX(tblAssetMenuSpecs[Is Real Estate Commercial EU (non-leveraged)],NumberOfAssets))))</f>
        <v>0</v>
      </c>
      <c r="W109" s="280">
        <f>MMULT(INDEX(ReportAssetWeightsBaseline,ROW()-ROW(P$95),1):INDEX(ReportAssetWeightsBaseline,ROW()-ROW(P$95),NumberOfAssets),INT(INDEX(tblAssetMenuSpecs[Is Real Estate Residential EU (non-leveraged)],1):(INDEX(tblAssetMenuSpecs[Is Real Estate Residential EU (non-leveraged)],NumberOfAssets))))</f>
        <v>0</v>
      </c>
      <c r="X109" s="280">
        <f>MMULT(INDEX(ReportAssetWeightsBaseline,ROW()-ROW(Q$95),1):INDEX(ReportAssetWeightsBaseline,ROW()-ROW(Q$95),NumberOfAssets),INT(INDEX(tblAssetMenuSpecs[Is Government Bond EU],1):(INDEX(tblAssetMenuSpecs[Is Government Bond EU],NumberOfAssets))))</f>
        <v>0</v>
      </c>
      <c r="Y109" s="280">
        <f>MMULT(INDEX(ReportAssetWeightsBaseline,ROW()-ROW(R$95),1):INDEX(ReportAssetWeightsBaseline,ROW()-ROW(R$95),NumberOfAssets),INT(INDEX(tblAssetMenuSpecs[Is Government Bond US],1):(INDEX(tblAssetMenuSpecs[Is Government Bond US],NumberOfAssets))))</f>
        <v>0</v>
      </c>
      <c r="Z109" s="280">
        <f>MMULT(INDEX(ReportAssetWeightsBaseline,ROW()-ROW(S$95),1):INDEX(ReportAssetWeightsBaseline,ROW()-ROW(S$95),NumberOfAssets),INT(INDEX(tblAssetMenuSpecs[Is Government Bond Other Developed Markets],1):(INDEX(tblAssetMenuSpecs[Is Government Bond Other Developed Markets],NumberOfAssets))))</f>
        <v>0</v>
      </c>
      <c r="AA109" s="280">
        <f>MMULT(INDEX(ReportAssetWeightsBaseline,ROW()-ROW(T$95),1):INDEX(ReportAssetWeightsBaseline,ROW()-ROW(T$95),NumberOfAssets),INT(INDEX(tblAssetMenuSpecs[Is Government Bond Emerging Markets],1):(INDEX(tblAssetMenuSpecs[Is Government Bond Emerging Markets],NumberOfAssets))))</f>
        <v>0</v>
      </c>
      <c r="AB109" s="280">
        <f>MMULT(INDEX(ReportAssetWeightsBaseline,ROW()-ROW(U$95),1):INDEX(ReportAssetWeightsBaseline,ROW()-ROW(U$95),NumberOfAssets),INT(INDEX(tblAssetMenuSpecs[Is Corporate Bond],1):(INDEX(tblAssetMenuSpecs[Is Corporate Bond],NumberOfAssets))))</f>
        <v>0</v>
      </c>
      <c r="AC109" s="280">
        <f>MMULT(INDEX(ReportAssetWeightsBaseline,ROW()-ROW(V$95),1):INDEX(ReportAssetWeightsBaseline,ROW()-ROW(V$95),NumberOfAssets),INT(INDEX(tblAssetMenuSpecs[Is Corporate Bond Non-Financial],1):(INDEX(tblAssetMenuSpecs[Is Corporate Bond Non-Financial],NumberOfAssets))))</f>
        <v>0</v>
      </c>
      <c r="AD109" s="280">
        <f>MMULT(INDEX(ReportAssetWeightsBaseline,ROW()-ROW(W$95),1):INDEX(ReportAssetWeightsBaseline,ROW()-ROW(W$95),NumberOfAssets),INT(INDEX(tblAssetMenuSpecs[Is Corporate Bond Financial],1):(INDEX(tblAssetMenuSpecs[Is Corporate Bond Financial],NumberOfAssets))))</f>
        <v>0</v>
      </c>
      <c r="AE109" s="280">
        <f>MMULT(INDEX(ReportAssetWeightsBaseline,ROW()-ROW(V$95),1):INDEX(ReportAssetWeightsBaseline,ROW()-ROW(V$95),NumberOfAssets),INT(INDEX(tblAssetMenuSpecs[Is Cash and Deposits],1):(INDEX(tblAssetMenuSpecs[Is Cash and Deposits],NumberOfAssets))))</f>
        <v>1</v>
      </c>
    </row>
    <row r="110" spans="6:31" x14ac:dyDescent="0.25">
      <c r="F110" s="278">
        <f t="shared" si="0"/>
        <v>6</v>
      </c>
      <c r="G110" s="279">
        <f>MMULT(INDEX(ReportAssetWeightsBaseline,ROW()-ROW(G$95),1):INDEX(ReportAssetWeightsBaseline,ROW()-ROW(G$95),NumberOfAssets),INT(INDEX(tblAssetMenuSpecs[IsEquities],1):(INDEX(tblAssetMenuSpecs[IsEquities],NumberOfAssets))))</f>
        <v>0</v>
      </c>
      <c r="H110" s="279">
        <f>MMULT(INDEX(ReportAssetWeightsBaseline,ROW()-ROW(H$95),1):INDEX(ReportAssetWeightsBaseline,ROW()-ROW(H$95),NumberOfAssets),INT(INDEX(tblAssetMenuSpecs[IsRealEstate],1):(INDEX(tblAssetMenuSpecs[IsRealEstate],NumberOfAssets))))</f>
        <v>0</v>
      </c>
      <c r="I110" s="279">
        <f>MMULT(INDEX(ReportAssetWeightsBaseline,ROW()-ROW(I$95),1):INDEX(ReportAssetWeightsBaseline,ROW()-ROW(I$95),NumberOfAssets),INT(INDEX(tblAssetMenuSpecs[IsAlternatives],1):(INDEX(tblAssetMenuSpecs[IsAlternatives],NumberOfAssets))))</f>
        <v>0</v>
      </c>
      <c r="J110" s="279">
        <f>MMULT(INDEX(ReportAssetWeightsBaseline,ROW()-ROW(J$95),1):INDEX(ReportAssetWeightsBaseline,ROW()-ROW(J$95),NumberOfAssets),INT(INDEX(tblAssetMenuSpecs[IsFixedIncome],1):(INDEX(tblAssetMenuSpecs[IsFixedIncome],NumberOfAssets))))</f>
        <v>1</v>
      </c>
      <c r="L110" s="280">
        <f>MMULT(INDEX(ReportAssetWeightsBaseline,ROW()-ROW(G$95),1):INDEX(ReportAssetWeightsBaseline,ROW()-ROW(G$95),NumberOfAssets),INT(INDEX(tblAssetMenuSpecs[Is Equities EU],1):(INDEX(tblAssetMenuSpecs[Is Equities EU],NumberOfAssets))))</f>
        <v>0</v>
      </c>
      <c r="M110" s="280">
        <f>MMULT(INDEX(ReportAssetWeightsBaseline,ROW()-ROW(H$95),1):INDEX(ReportAssetWeightsBaseline,ROW()-ROW(H$95),NumberOfAssets),INT(INDEX(tblAssetMenuSpecs[Is Equities US],1):(INDEX(tblAssetMenuSpecs[Is Equities US],NumberOfAssets))))</f>
        <v>0</v>
      </c>
      <c r="N110" s="280">
        <f>MMULT(INDEX(ReportAssetWeightsBaseline,ROW()-ROW(I$95),1):INDEX(ReportAssetWeightsBaseline,ROW()-ROW(I$95),NumberOfAssets),INT(INDEX(tblAssetMenuSpecs[Is Equities Other Developed Markets],1):(INDEX(tblAssetMenuSpecs[Is Equities Other Developed Markets],NumberOfAssets))))</f>
        <v>0</v>
      </c>
      <c r="O110" s="280">
        <f>MMULT(INDEX(ReportAssetWeightsBaseline,ROW()-ROW(J$95),1):INDEX(ReportAssetWeightsBaseline,ROW()-ROW(J$95),NumberOfAssets),INT(INDEX(tblAssetMenuSpecs[Is Equities Emerging Markets],1):(INDEX(tblAssetMenuSpecs[Is Equities Emerging Markets],NumberOfAssets))))</f>
        <v>0</v>
      </c>
      <c r="P110" s="280">
        <f>MMULT(INDEX(ReportAssetWeightsBaseline,ROW()-ROW(K$95),1):INDEX(ReportAssetWeightsBaseline,ROW()-ROW(K$95),NumberOfAssets),INT(INDEX(tblAssetMenuSpecs[Is Commodities],1):(INDEX(tblAssetMenuSpecs[Is Commodities],NumberOfAssets))))</f>
        <v>0</v>
      </c>
      <c r="Q110" s="280">
        <f>MMULT(INDEX(ReportAssetWeightsBaseline,ROW()-ROW(L$95),1):INDEX(ReportAssetWeightsBaseline,ROW()-ROW(L$95),NumberOfAssets),INT(INDEX(tblAssetMenuSpecs[Is Private Equity],1):(INDEX(tblAssetMenuSpecs[Is Private Equity],NumberOfAssets))))</f>
        <v>0</v>
      </c>
      <c r="R110" s="280">
        <f>MMULT(INDEX(ReportAssetWeightsBaseline,ROW()-ROW(M$95),1):INDEX(ReportAssetWeightsBaseline,ROW()-ROW(M$95),NumberOfAssets),INT(INDEX(tblAssetMenuSpecs[Is Hedge Funds],1):(INDEX(tblAssetMenuSpecs[Is Hedge Funds],NumberOfAssets))))</f>
        <v>0</v>
      </c>
      <c r="S110" s="280">
        <f>MMULT(INDEX(ReportAssetWeightsBaseline,ROW()-ROW(N$95),1):INDEX(ReportAssetWeightsBaseline,ROW()-ROW(N$95),NumberOfAssets),INT(INDEX(tblAssetMenuSpecs[Is Real Estate EU],1):(INDEX(tblAssetMenuSpecs[Is Real Estate EU],NumberOfAssets))))</f>
        <v>0</v>
      </c>
      <c r="T110" s="280">
        <f>MMULT(INDEX(ReportAssetWeightsBaseline,ROW()-ROW(O$95),1):INDEX(ReportAssetWeightsBaseline,ROW()-ROW(O$95),NumberOfAssets),INT(INDEX(tblAssetMenuSpecs[Is Real Estate US],1):(INDEX(tblAssetMenuSpecs[Is Real Estate US],NumberOfAssets))))</f>
        <v>0</v>
      </c>
      <c r="U110" s="280">
        <f>MMULT(INDEX(ReportAssetWeightsBaseline,ROW()-ROW(P$95),1):INDEX(ReportAssetWeightsBaseline,ROW()-ROW(P$95),NumberOfAssets),INT(INDEX(tblAssetMenuSpecs[Is Real Estate Other Developed Markets],1):(INDEX(tblAssetMenuSpecs[Is Real Estate Other Developed Markets],NumberOfAssets))))</f>
        <v>0</v>
      </c>
      <c r="V110" s="280">
        <f>MMULT(INDEX(ReportAssetWeightsBaseline,ROW()-ROW(Q$95),1):INDEX(ReportAssetWeightsBaseline,ROW()-ROW(Q$95),NumberOfAssets),INT(INDEX(tblAssetMenuSpecs[Is Real Estate Commercial EU (non-leveraged)],1):(INDEX(tblAssetMenuSpecs[Is Real Estate Commercial EU (non-leveraged)],NumberOfAssets))))</f>
        <v>0</v>
      </c>
      <c r="W110" s="280">
        <f>MMULT(INDEX(ReportAssetWeightsBaseline,ROW()-ROW(P$95),1):INDEX(ReportAssetWeightsBaseline,ROW()-ROW(P$95),NumberOfAssets),INT(INDEX(tblAssetMenuSpecs[Is Real Estate Residential EU (non-leveraged)],1):(INDEX(tblAssetMenuSpecs[Is Real Estate Residential EU (non-leveraged)],NumberOfAssets))))</f>
        <v>0</v>
      </c>
      <c r="X110" s="280">
        <f>MMULT(INDEX(ReportAssetWeightsBaseline,ROW()-ROW(Q$95),1):INDEX(ReportAssetWeightsBaseline,ROW()-ROW(Q$95),NumberOfAssets),INT(INDEX(tblAssetMenuSpecs[Is Government Bond EU],1):(INDEX(tblAssetMenuSpecs[Is Government Bond EU],NumberOfAssets))))</f>
        <v>0</v>
      </c>
      <c r="Y110" s="280">
        <f>MMULT(INDEX(ReportAssetWeightsBaseline,ROW()-ROW(R$95),1):INDEX(ReportAssetWeightsBaseline,ROW()-ROW(R$95),NumberOfAssets),INT(INDEX(tblAssetMenuSpecs[Is Government Bond US],1):(INDEX(tblAssetMenuSpecs[Is Government Bond US],NumberOfAssets))))</f>
        <v>0</v>
      </c>
      <c r="Z110" s="280">
        <f>MMULT(INDEX(ReportAssetWeightsBaseline,ROW()-ROW(S$95),1):INDEX(ReportAssetWeightsBaseline,ROW()-ROW(S$95),NumberOfAssets),INT(INDEX(tblAssetMenuSpecs[Is Government Bond Other Developed Markets],1):(INDEX(tblAssetMenuSpecs[Is Government Bond Other Developed Markets],NumberOfAssets))))</f>
        <v>0</v>
      </c>
      <c r="AA110" s="280">
        <f>MMULT(INDEX(ReportAssetWeightsBaseline,ROW()-ROW(T$95),1):INDEX(ReportAssetWeightsBaseline,ROW()-ROW(T$95),NumberOfAssets),INT(INDEX(tblAssetMenuSpecs[Is Government Bond Emerging Markets],1):(INDEX(tblAssetMenuSpecs[Is Government Bond Emerging Markets],NumberOfAssets))))</f>
        <v>0</v>
      </c>
      <c r="AB110" s="280">
        <f>MMULT(INDEX(ReportAssetWeightsBaseline,ROW()-ROW(U$95),1):INDEX(ReportAssetWeightsBaseline,ROW()-ROW(U$95),NumberOfAssets),INT(INDEX(tblAssetMenuSpecs[Is Corporate Bond],1):(INDEX(tblAssetMenuSpecs[Is Corporate Bond],NumberOfAssets))))</f>
        <v>0</v>
      </c>
      <c r="AC110" s="280">
        <f>MMULT(INDEX(ReportAssetWeightsBaseline,ROW()-ROW(V$95),1):INDEX(ReportAssetWeightsBaseline,ROW()-ROW(V$95),NumberOfAssets),INT(INDEX(tblAssetMenuSpecs[Is Corporate Bond Non-Financial],1):(INDEX(tblAssetMenuSpecs[Is Corporate Bond Non-Financial],NumberOfAssets))))</f>
        <v>0</v>
      </c>
      <c r="AD110" s="280">
        <f>MMULT(INDEX(ReportAssetWeightsBaseline,ROW()-ROW(W$95),1):INDEX(ReportAssetWeightsBaseline,ROW()-ROW(W$95),NumberOfAssets),INT(INDEX(tblAssetMenuSpecs[Is Corporate Bond Financial],1):(INDEX(tblAssetMenuSpecs[Is Corporate Bond Financial],NumberOfAssets))))</f>
        <v>0</v>
      </c>
      <c r="AE110" s="280">
        <f>MMULT(INDEX(ReportAssetWeightsBaseline,ROW()-ROW(V$95),1):INDEX(ReportAssetWeightsBaseline,ROW()-ROW(V$95),NumberOfAssets),INT(INDEX(tblAssetMenuSpecs[Is Cash and Deposits],1):(INDEX(tblAssetMenuSpecs[Is Cash and Deposits],NumberOfAssets))))</f>
        <v>1</v>
      </c>
    </row>
    <row r="111" spans="6:31" x14ac:dyDescent="0.25">
      <c r="F111" s="278">
        <f t="shared" si="0"/>
        <v>5</v>
      </c>
      <c r="G111" s="279">
        <f>MMULT(INDEX(ReportAssetWeightsBaseline,ROW()-ROW(G$95),1):INDEX(ReportAssetWeightsBaseline,ROW()-ROW(G$95),NumberOfAssets),INT(INDEX(tblAssetMenuSpecs[IsEquities],1):(INDEX(tblAssetMenuSpecs[IsEquities],NumberOfAssets))))</f>
        <v>0</v>
      </c>
      <c r="H111" s="279">
        <f>MMULT(INDEX(ReportAssetWeightsBaseline,ROW()-ROW(H$95),1):INDEX(ReportAssetWeightsBaseline,ROW()-ROW(H$95),NumberOfAssets),INT(INDEX(tblAssetMenuSpecs[IsRealEstate],1):(INDEX(tblAssetMenuSpecs[IsRealEstate],NumberOfAssets))))</f>
        <v>0</v>
      </c>
      <c r="I111" s="279">
        <f>MMULT(INDEX(ReportAssetWeightsBaseline,ROW()-ROW(I$95),1):INDEX(ReportAssetWeightsBaseline,ROW()-ROW(I$95),NumberOfAssets),INT(INDEX(tblAssetMenuSpecs[IsAlternatives],1):(INDEX(tblAssetMenuSpecs[IsAlternatives],NumberOfAssets))))</f>
        <v>0</v>
      </c>
      <c r="J111" s="279">
        <f>MMULT(INDEX(ReportAssetWeightsBaseline,ROW()-ROW(J$95),1):INDEX(ReportAssetWeightsBaseline,ROW()-ROW(J$95),NumberOfAssets),INT(INDEX(tblAssetMenuSpecs[IsFixedIncome],1):(INDEX(tblAssetMenuSpecs[IsFixedIncome],NumberOfAssets))))</f>
        <v>1</v>
      </c>
      <c r="L111" s="280">
        <f>MMULT(INDEX(ReportAssetWeightsBaseline,ROW()-ROW(G$95),1):INDEX(ReportAssetWeightsBaseline,ROW()-ROW(G$95),NumberOfAssets),INT(INDEX(tblAssetMenuSpecs[Is Equities EU],1):(INDEX(tblAssetMenuSpecs[Is Equities EU],NumberOfAssets))))</f>
        <v>0</v>
      </c>
      <c r="M111" s="280">
        <f>MMULT(INDEX(ReportAssetWeightsBaseline,ROW()-ROW(H$95),1):INDEX(ReportAssetWeightsBaseline,ROW()-ROW(H$95),NumberOfAssets),INT(INDEX(tblAssetMenuSpecs[Is Equities US],1):(INDEX(tblAssetMenuSpecs[Is Equities US],NumberOfAssets))))</f>
        <v>0</v>
      </c>
      <c r="N111" s="280">
        <f>MMULT(INDEX(ReportAssetWeightsBaseline,ROW()-ROW(I$95),1):INDEX(ReportAssetWeightsBaseline,ROW()-ROW(I$95),NumberOfAssets),INT(INDEX(tblAssetMenuSpecs[Is Equities Other Developed Markets],1):(INDEX(tblAssetMenuSpecs[Is Equities Other Developed Markets],NumberOfAssets))))</f>
        <v>0</v>
      </c>
      <c r="O111" s="280">
        <f>MMULT(INDEX(ReportAssetWeightsBaseline,ROW()-ROW(J$95),1):INDEX(ReportAssetWeightsBaseline,ROW()-ROW(J$95),NumberOfAssets),INT(INDEX(tblAssetMenuSpecs[Is Equities Emerging Markets],1):(INDEX(tblAssetMenuSpecs[Is Equities Emerging Markets],NumberOfAssets))))</f>
        <v>0</v>
      </c>
      <c r="P111" s="280">
        <f>MMULT(INDEX(ReportAssetWeightsBaseline,ROW()-ROW(K$95),1):INDEX(ReportAssetWeightsBaseline,ROW()-ROW(K$95),NumberOfAssets),INT(INDEX(tblAssetMenuSpecs[Is Commodities],1):(INDEX(tblAssetMenuSpecs[Is Commodities],NumberOfAssets))))</f>
        <v>0</v>
      </c>
      <c r="Q111" s="280">
        <f>MMULT(INDEX(ReportAssetWeightsBaseline,ROW()-ROW(L$95),1):INDEX(ReportAssetWeightsBaseline,ROW()-ROW(L$95),NumberOfAssets),INT(INDEX(tblAssetMenuSpecs[Is Private Equity],1):(INDEX(tblAssetMenuSpecs[Is Private Equity],NumberOfAssets))))</f>
        <v>0</v>
      </c>
      <c r="R111" s="280">
        <f>MMULT(INDEX(ReportAssetWeightsBaseline,ROW()-ROW(M$95),1):INDEX(ReportAssetWeightsBaseline,ROW()-ROW(M$95),NumberOfAssets),INT(INDEX(tblAssetMenuSpecs[Is Hedge Funds],1):(INDEX(tblAssetMenuSpecs[Is Hedge Funds],NumberOfAssets))))</f>
        <v>0</v>
      </c>
      <c r="S111" s="280">
        <f>MMULT(INDEX(ReportAssetWeightsBaseline,ROW()-ROW(N$95),1):INDEX(ReportAssetWeightsBaseline,ROW()-ROW(N$95),NumberOfAssets),INT(INDEX(tblAssetMenuSpecs[Is Real Estate EU],1):(INDEX(tblAssetMenuSpecs[Is Real Estate EU],NumberOfAssets))))</f>
        <v>0</v>
      </c>
      <c r="T111" s="280">
        <f>MMULT(INDEX(ReportAssetWeightsBaseline,ROW()-ROW(O$95),1):INDEX(ReportAssetWeightsBaseline,ROW()-ROW(O$95),NumberOfAssets),INT(INDEX(tblAssetMenuSpecs[Is Real Estate US],1):(INDEX(tblAssetMenuSpecs[Is Real Estate US],NumberOfAssets))))</f>
        <v>0</v>
      </c>
      <c r="U111" s="280">
        <f>MMULT(INDEX(ReportAssetWeightsBaseline,ROW()-ROW(P$95),1):INDEX(ReportAssetWeightsBaseline,ROW()-ROW(P$95),NumberOfAssets),INT(INDEX(tblAssetMenuSpecs[Is Real Estate Other Developed Markets],1):(INDEX(tblAssetMenuSpecs[Is Real Estate Other Developed Markets],NumberOfAssets))))</f>
        <v>0</v>
      </c>
      <c r="V111" s="280">
        <f>MMULT(INDEX(ReportAssetWeightsBaseline,ROW()-ROW(Q$95),1):INDEX(ReportAssetWeightsBaseline,ROW()-ROW(Q$95),NumberOfAssets),INT(INDEX(tblAssetMenuSpecs[Is Real Estate Commercial EU (non-leveraged)],1):(INDEX(tblAssetMenuSpecs[Is Real Estate Commercial EU (non-leveraged)],NumberOfAssets))))</f>
        <v>0</v>
      </c>
      <c r="W111" s="280">
        <f>MMULT(INDEX(ReportAssetWeightsBaseline,ROW()-ROW(P$95),1):INDEX(ReportAssetWeightsBaseline,ROW()-ROW(P$95),NumberOfAssets),INT(INDEX(tblAssetMenuSpecs[Is Real Estate Residential EU (non-leveraged)],1):(INDEX(tblAssetMenuSpecs[Is Real Estate Residential EU (non-leveraged)],NumberOfAssets))))</f>
        <v>0</v>
      </c>
      <c r="X111" s="280">
        <f>MMULT(INDEX(ReportAssetWeightsBaseline,ROW()-ROW(Q$95),1):INDEX(ReportAssetWeightsBaseline,ROW()-ROW(Q$95),NumberOfAssets),INT(INDEX(tblAssetMenuSpecs[Is Government Bond EU],1):(INDEX(tblAssetMenuSpecs[Is Government Bond EU],NumberOfAssets))))</f>
        <v>0</v>
      </c>
      <c r="Y111" s="280">
        <f>MMULT(INDEX(ReportAssetWeightsBaseline,ROW()-ROW(R$95),1):INDEX(ReportAssetWeightsBaseline,ROW()-ROW(R$95),NumberOfAssets),INT(INDEX(tblAssetMenuSpecs[Is Government Bond US],1):(INDEX(tblAssetMenuSpecs[Is Government Bond US],NumberOfAssets))))</f>
        <v>0</v>
      </c>
      <c r="Z111" s="280">
        <f>MMULT(INDEX(ReportAssetWeightsBaseline,ROW()-ROW(S$95),1):INDEX(ReportAssetWeightsBaseline,ROW()-ROW(S$95),NumberOfAssets),INT(INDEX(tblAssetMenuSpecs[Is Government Bond Other Developed Markets],1):(INDEX(tblAssetMenuSpecs[Is Government Bond Other Developed Markets],NumberOfAssets))))</f>
        <v>0</v>
      </c>
      <c r="AA111" s="280">
        <f>MMULT(INDEX(ReportAssetWeightsBaseline,ROW()-ROW(T$95),1):INDEX(ReportAssetWeightsBaseline,ROW()-ROW(T$95),NumberOfAssets),INT(INDEX(tblAssetMenuSpecs[Is Government Bond Emerging Markets],1):(INDEX(tblAssetMenuSpecs[Is Government Bond Emerging Markets],NumberOfAssets))))</f>
        <v>0</v>
      </c>
      <c r="AB111" s="280">
        <f>MMULT(INDEX(ReportAssetWeightsBaseline,ROW()-ROW(U$95),1):INDEX(ReportAssetWeightsBaseline,ROW()-ROW(U$95),NumberOfAssets),INT(INDEX(tblAssetMenuSpecs[Is Corporate Bond],1):(INDEX(tblAssetMenuSpecs[Is Corporate Bond],NumberOfAssets))))</f>
        <v>0</v>
      </c>
      <c r="AC111" s="280">
        <f>MMULT(INDEX(ReportAssetWeightsBaseline,ROW()-ROW(V$95),1):INDEX(ReportAssetWeightsBaseline,ROW()-ROW(V$95),NumberOfAssets),INT(INDEX(tblAssetMenuSpecs[Is Corporate Bond Non-Financial],1):(INDEX(tblAssetMenuSpecs[Is Corporate Bond Non-Financial],NumberOfAssets))))</f>
        <v>0</v>
      </c>
      <c r="AD111" s="280">
        <f>MMULT(INDEX(ReportAssetWeightsBaseline,ROW()-ROW(W$95),1):INDEX(ReportAssetWeightsBaseline,ROW()-ROW(W$95),NumberOfAssets),INT(INDEX(tblAssetMenuSpecs[Is Corporate Bond Financial],1):(INDEX(tblAssetMenuSpecs[Is Corporate Bond Financial],NumberOfAssets))))</f>
        <v>0</v>
      </c>
      <c r="AE111" s="280">
        <f>MMULT(INDEX(ReportAssetWeightsBaseline,ROW()-ROW(V$95),1):INDEX(ReportAssetWeightsBaseline,ROW()-ROW(V$95),NumberOfAssets),INT(INDEX(tblAssetMenuSpecs[Is Cash and Deposits],1):(INDEX(tblAssetMenuSpecs[Is Cash and Deposits],NumberOfAssets))))</f>
        <v>1</v>
      </c>
    </row>
    <row r="112" spans="6:31" x14ac:dyDescent="0.25">
      <c r="F112" s="278">
        <f t="shared" si="0"/>
        <v>4</v>
      </c>
      <c r="G112" s="279">
        <f>MMULT(INDEX(ReportAssetWeightsBaseline,ROW()-ROW(G$95),1):INDEX(ReportAssetWeightsBaseline,ROW()-ROW(G$95),NumberOfAssets),INT(INDEX(tblAssetMenuSpecs[IsEquities],1):(INDEX(tblAssetMenuSpecs[IsEquities],NumberOfAssets))))</f>
        <v>0</v>
      </c>
      <c r="H112" s="279">
        <f>MMULT(INDEX(ReportAssetWeightsBaseline,ROW()-ROW(H$95),1):INDEX(ReportAssetWeightsBaseline,ROW()-ROW(H$95),NumberOfAssets),INT(INDEX(tblAssetMenuSpecs[IsRealEstate],1):(INDEX(tblAssetMenuSpecs[IsRealEstate],NumberOfAssets))))</f>
        <v>0</v>
      </c>
      <c r="I112" s="279">
        <f>MMULT(INDEX(ReportAssetWeightsBaseline,ROW()-ROW(I$95),1):INDEX(ReportAssetWeightsBaseline,ROW()-ROW(I$95),NumberOfAssets),INT(INDEX(tblAssetMenuSpecs[IsAlternatives],1):(INDEX(tblAssetMenuSpecs[IsAlternatives],NumberOfAssets))))</f>
        <v>0</v>
      </c>
      <c r="J112" s="279">
        <f>MMULT(INDEX(ReportAssetWeightsBaseline,ROW()-ROW(J$95),1):INDEX(ReportAssetWeightsBaseline,ROW()-ROW(J$95),NumberOfAssets),INT(INDEX(tblAssetMenuSpecs[IsFixedIncome],1):(INDEX(tblAssetMenuSpecs[IsFixedIncome],NumberOfAssets))))</f>
        <v>1</v>
      </c>
      <c r="L112" s="280">
        <f>MMULT(INDEX(ReportAssetWeightsBaseline,ROW()-ROW(G$95),1):INDEX(ReportAssetWeightsBaseline,ROW()-ROW(G$95),NumberOfAssets),INT(INDEX(tblAssetMenuSpecs[Is Equities EU],1):(INDEX(tblAssetMenuSpecs[Is Equities EU],NumberOfAssets))))</f>
        <v>0</v>
      </c>
      <c r="M112" s="280">
        <f>MMULT(INDEX(ReportAssetWeightsBaseline,ROW()-ROW(H$95),1):INDEX(ReportAssetWeightsBaseline,ROW()-ROW(H$95),NumberOfAssets),INT(INDEX(tblAssetMenuSpecs[Is Equities US],1):(INDEX(tblAssetMenuSpecs[Is Equities US],NumberOfAssets))))</f>
        <v>0</v>
      </c>
      <c r="N112" s="280">
        <f>MMULT(INDEX(ReportAssetWeightsBaseline,ROW()-ROW(I$95),1):INDEX(ReportAssetWeightsBaseline,ROW()-ROW(I$95),NumberOfAssets),INT(INDEX(tblAssetMenuSpecs[Is Equities Other Developed Markets],1):(INDEX(tblAssetMenuSpecs[Is Equities Other Developed Markets],NumberOfAssets))))</f>
        <v>0</v>
      </c>
      <c r="O112" s="280">
        <f>MMULT(INDEX(ReportAssetWeightsBaseline,ROW()-ROW(J$95),1):INDEX(ReportAssetWeightsBaseline,ROW()-ROW(J$95),NumberOfAssets),INT(INDEX(tblAssetMenuSpecs[Is Equities Emerging Markets],1):(INDEX(tblAssetMenuSpecs[Is Equities Emerging Markets],NumberOfAssets))))</f>
        <v>0</v>
      </c>
      <c r="P112" s="280">
        <f>MMULT(INDEX(ReportAssetWeightsBaseline,ROW()-ROW(K$95),1):INDEX(ReportAssetWeightsBaseline,ROW()-ROW(K$95),NumberOfAssets),INT(INDEX(tblAssetMenuSpecs[Is Commodities],1):(INDEX(tblAssetMenuSpecs[Is Commodities],NumberOfAssets))))</f>
        <v>0</v>
      </c>
      <c r="Q112" s="280">
        <f>MMULT(INDEX(ReportAssetWeightsBaseline,ROW()-ROW(L$95),1):INDEX(ReportAssetWeightsBaseline,ROW()-ROW(L$95),NumberOfAssets),INT(INDEX(tblAssetMenuSpecs[Is Private Equity],1):(INDEX(tblAssetMenuSpecs[Is Private Equity],NumberOfAssets))))</f>
        <v>0</v>
      </c>
      <c r="R112" s="280">
        <f>MMULT(INDEX(ReportAssetWeightsBaseline,ROW()-ROW(M$95),1):INDEX(ReportAssetWeightsBaseline,ROW()-ROW(M$95),NumberOfAssets),INT(INDEX(tblAssetMenuSpecs[Is Hedge Funds],1):(INDEX(tblAssetMenuSpecs[Is Hedge Funds],NumberOfAssets))))</f>
        <v>0</v>
      </c>
      <c r="S112" s="280">
        <f>MMULT(INDEX(ReportAssetWeightsBaseline,ROW()-ROW(N$95),1):INDEX(ReportAssetWeightsBaseline,ROW()-ROW(N$95),NumberOfAssets),INT(INDEX(tblAssetMenuSpecs[Is Real Estate EU],1):(INDEX(tblAssetMenuSpecs[Is Real Estate EU],NumberOfAssets))))</f>
        <v>0</v>
      </c>
      <c r="T112" s="280">
        <f>MMULT(INDEX(ReportAssetWeightsBaseline,ROW()-ROW(O$95),1):INDEX(ReportAssetWeightsBaseline,ROW()-ROW(O$95),NumberOfAssets),INT(INDEX(tblAssetMenuSpecs[Is Real Estate US],1):(INDEX(tblAssetMenuSpecs[Is Real Estate US],NumberOfAssets))))</f>
        <v>0</v>
      </c>
      <c r="U112" s="280">
        <f>MMULT(INDEX(ReportAssetWeightsBaseline,ROW()-ROW(P$95),1):INDEX(ReportAssetWeightsBaseline,ROW()-ROW(P$95),NumberOfAssets),INT(INDEX(tblAssetMenuSpecs[Is Real Estate Other Developed Markets],1):(INDEX(tblAssetMenuSpecs[Is Real Estate Other Developed Markets],NumberOfAssets))))</f>
        <v>0</v>
      </c>
      <c r="V112" s="280">
        <f>MMULT(INDEX(ReportAssetWeightsBaseline,ROW()-ROW(Q$95),1):INDEX(ReportAssetWeightsBaseline,ROW()-ROW(Q$95),NumberOfAssets),INT(INDEX(tblAssetMenuSpecs[Is Real Estate Commercial EU (non-leveraged)],1):(INDEX(tblAssetMenuSpecs[Is Real Estate Commercial EU (non-leveraged)],NumberOfAssets))))</f>
        <v>0</v>
      </c>
      <c r="W112" s="280">
        <f>MMULT(INDEX(ReportAssetWeightsBaseline,ROW()-ROW(P$95),1):INDEX(ReportAssetWeightsBaseline,ROW()-ROW(P$95),NumberOfAssets),INT(INDEX(tblAssetMenuSpecs[Is Real Estate Residential EU (non-leveraged)],1):(INDEX(tblAssetMenuSpecs[Is Real Estate Residential EU (non-leveraged)],NumberOfAssets))))</f>
        <v>0</v>
      </c>
      <c r="X112" s="280">
        <f>MMULT(INDEX(ReportAssetWeightsBaseline,ROW()-ROW(Q$95),1):INDEX(ReportAssetWeightsBaseline,ROW()-ROW(Q$95),NumberOfAssets),INT(INDEX(tblAssetMenuSpecs[Is Government Bond EU],1):(INDEX(tblAssetMenuSpecs[Is Government Bond EU],NumberOfAssets))))</f>
        <v>0</v>
      </c>
      <c r="Y112" s="280">
        <f>MMULT(INDEX(ReportAssetWeightsBaseline,ROW()-ROW(R$95),1):INDEX(ReportAssetWeightsBaseline,ROW()-ROW(R$95),NumberOfAssets),INT(INDEX(tblAssetMenuSpecs[Is Government Bond US],1):(INDEX(tblAssetMenuSpecs[Is Government Bond US],NumberOfAssets))))</f>
        <v>0</v>
      </c>
      <c r="Z112" s="280">
        <f>MMULT(INDEX(ReportAssetWeightsBaseline,ROW()-ROW(S$95),1):INDEX(ReportAssetWeightsBaseline,ROW()-ROW(S$95),NumberOfAssets),INT(INDEX(tblAssetMenuSpecs[Is Government Bond Other Developed Markets],1):(INDEX(tblAssetMenuSpecs[Is Government Bond Other Developed Markets],NumberOfAssets))))</f>
        <v>0</v>
      </c>
      <c r="AA112" s="280">
        <f>MMULT(INDEX(ReportAssetWeightsBaseline,ROW()-ROW(T$95),1):INDEX(ReportAssetWeightsBaseline,ROW()-ROW(T$95),NumberOfAssets),INT(INDEX(tblAssetMenuSpecs[Is Government Bond Emerging Markets],1):(INDEX(tblAssetMenuSpecs[Is Government Bond Emerging Markets],NumberOfAssets))))</f>
        <v>0</v>
      </c>
      <c r="AB112" s="280">
        <f>MMULT(INDEX(ReportAssetWeightsBaseline,ROW()-ROW(U$95),1):INDEX(ReportAssetWeightsBaseline,ROW()-ROW(U$95),NumberOfAssets),INT(INDEX(tblAssetMenuSpecs[Is Corporate Bond],1):(INDEX(tblAssetMenuSpecs[Is Corporate Bond],NumberOfAssets))))</f>
        <v>0</v>
      </c>
      <c r="AC112" s="280">
        <f>MMULT(INDEX(ReportAssetWeightsBaseline,ROW()-ROW(V$95),1):INDEX(ReportAssetWeightsBaseline,ROW()-ROW(V$95),NumberOfAssets),INT(INDEX(tblAssetMenuSpecs[Is Corporate Bond Non-Financial],1):(INDEX(tblAssetMenuSpecs[Is Corporate Bond Non-Financial],NumberOfAssets))))</f>
        <v>0</v>
      </c>
      <c r="AD112" s="280">
        <f>MMULT(INDEX(ReportAssetWeightsBaseline,ROW()-ROW(W$95),1):INDEX(ReportAssetWeightsBaseline,ROW()-ROW(W$95),NumberOfAssets),INT(INDEX(tblAssetMenuSpecs[Is Corporate Bond Financial],1):(INDEX(tblAssetMenuSpecs[Is Corporate Bond Financial],NumberOfAssets))))</f>
        <v>0</v>
      </c>
      <c r="AE112" s="280">
        <f>MMULT(INDEX(ReportAssetWeightsBaseline,ROW()-ROW(V$95),1):INDEX(ReportAssetWeightsBaseline,ROW()-ROW(V$95),NumberOfAssets),INT(INDEX(tblAssetMenuSpecs[Is Cash and Deposits],1):(INDEX(tblAssetMenuSpecs[Is Cash and Deposits],NumberOfAssets))))</f>
        <v>1</v>
      </c>
    </row>
    <row r="113" spans="6:31" x14ac:dyDescent="0.25">
      <c r="F113" s="278">
        <f t="shared" si="0"/>
        <v>3</v>
      </c>
      <c r="G113" s="279">
        <f>MMULT(INDEX(ReportAssetWeightsBaseline,ROW()-ROW(G$95),1):INDEX(ReportAssetWeightsBaseline,ROW()-ROW(G$95),NumberOfAssets),INT(INDEX(tblAssetMenuSpecs[IsEquities],1):(INDEX(tblAssetMenuSpecs[IsEquities],NumberOfAssets))))</f>
        <v>0</v>
      </c>
      <c r="H113" s="279">
        <f>MMULT(INDEX(ReportAssetWeightsBaseline,ROW()-ROW(H$95),1):INDEX(ReportAssetWeightsBaseline,ROW()-ROW(H$95),NumberOfAssets),INT(INDEX(tblAssetMenuSpecs[IsRealEstate],1):(INDEX(tblAssetMenuSpecs[IsRealEstate],NumberOfAssets))))</f>
        <v>0</v>
      </c>
      <c r="I113" s="279">
        <f>MMULT(INDEX(ReportAssetWeightsBaseline,ROW()-ROW(I$95),1):INDEX(ReportAssetWeightsBaseline,ROW()-ROW(I$95),NumberOfAssets),INT(INDEX(tblAssetMenuSpecs[IsAlternatives],1):(INDEX(tblAssetMenuSpecs[IsAlternatives],NumberOfAssets))))</f>
        <v>0</v>
      </c>
      <c r="J113" s="279">
        <f>MMULT(INDEX(ReportAssetWeightsBaseline,ROW()-ROW(J$95),1):INDEX(ReportAssetWeightsBaseline,ROW()-ROW(J$95),NumberOfAssets),INT(INDEX(tblAssetMenuSpecs[IsFixedIncome],1):(INDEX(tblAssetMenuSpecs[IsFixedIncome],NumberOfAssets))))</f>
        <v>1</v>
      </c>
      <c r="L113" s="280">
        <f>MMULT(INDEX(ReportAssetWeightsBaseline,ROW()-ROW(G$95),1):INDEX(ReportAssetWeightsBaseline,ROW()-ROW(G$95),NumberOfAssets),INT(INDEX(tblAssetMenuSpecs[Is Equities EU],1):(INDEX(tblAssetMenuSpecs[Is Equities EU],NumberOfAssets))))</f>
        <v>0</v>
      </c>
      <c r="M113" s="280">
        <f>MMULT(INDEX(ReportAssetWeightsBaseline,ROW()-ROW(H$95),1):INDEX(ReportAssetWeightsBaseline,ROW()-ROW(H$95),NumberOfAssets),INT(INDEX(tblAssetMenuSpecs[Is Equities US],1):(INDEX(tblAssetMenuSpecs[Is Equities US],NumberOfAssets))))</f>
        <v>0</v>
      </c>
      <c r="N113" s="280">
        <f>MMULT(INDEX(ReportAssetWeightsBaseline,ROW()-ROW(I$95),1):INDEX(ReportAssetWeightsBaseline,ROW()-ROW(I$95),NumberOfAssets),INT(INDEX(tblAssetMenuSpecs[Is Equities Other Developed Markets],1):(INDEX(tblAssetMenuSpecs[Is Equities Other Developed Markets],NumberOfAssets))))</f>
        <v>0</v>
      </c>
      <c r="O113" s="280">
        <f>MMULT(INDEX(ReportAssetWeightsBaseline,ROW()-ROW(J$95),1):INDEX(ReportAssetWeightsBaseline,ROW()-ROW(J$95),NumberOfAssets),INT(INDEX(tblAssetMenuSpecs[Is Equities Emerging Markets],1):(INDEX(tblAssetMenuSpecs[Is Equities Emerging Markets],NumberOfAssets))))</f>
        <v>0</v>
      </c>
      <c r="P113" s="280">
        <f>MMULT(INDEX(ReportAssetWeightsBaseline,ROW()-ROW(K$95),1):INDEX(ReportAssetWeightsBaseline,ROW()-ROW(K$95),NumberOfAssets),INT(INDEX(tblAssetMenuSpecs[Is Commodities],1):(INDEX(tblAssetMenuSpecs[Is Commodities],NumberOfAssets))))</f>
        <v>0</v>
      </c>
      <c r="Q113" s="280">
        <f>MMULT(INDEX(ReportAssetWeightsBaseline,ROW()-ROW(L$95),1):INDEX(ReportAssetWeightsBaseline,ROW()-ROW(L$95),NumberOfAssets),INT(INDEX(tblAssetMenuSpecs[Is Private Equity],1):(INDEX(tblAssetMenuSpecs[Is Private Equity],NumberOfAssets))))</f>
        <v>0</v>
      </c>
      <c r="R113" s="280">
        <f>MMULT(INDEX(ReportAssetWeightsBaseline,ROW()-ROW(M$95),1):INDEX(ReportAssetWeightsBaseline,ROW()-ROW(M$95),NumberOfAssets),INT(INDEX(tblAssetMenuSpecs[Is Hedge Funds],1):(INDEX(tblAssetMenuSpecs[Is Hedge Funds],NumberOfAssets))))</f>
        <v>0</v>
      </c>
      <c r="S113" s="280">
        <f>MMULT(INDEX(ReportAssetWeightsBaseline,ROW()-ROW(N$95),1):INDEX(ReportAssetWeightsBaseline,ROW()-ROW(N$95),NumberOfAssets),INT(INDEX(tblAssetMenuSpecs[Is Real Estate EU],1):(INDEX(tblAssetMenuSpecs[Is Real Estate EU],NumberOfAssets))))</f>
        <v>0</v>
      </c>
      <c r="T113" s="280">
        <f>MMULT(INDEX(ReportAssetWeightsBaseline,ROW()-ROW(O$95),1):INDEX(ReportAssetWeightsBaseline,ROW()-ROW(O$95),NumberOfAssets),INT(INDEX(tblAssetMenuSpecs[Is Real Estate US],1):(INDEX(tblAssetMenuSpecs[Is Real Estate US],NumberOfAssets))))</f>
        <v>0</v>
      </c>
      <c r="U113" s="280">
        <f>MMULT(INDEX(ReportAssetWeightsBaseline,ROW()-ROW(P$95),1):INDEX(ReportAssetWeightsBaseline,ROW()-ROW(P$95),NumberOfAssets),INT(INDEX(tblAssetMenuSpecs[Is Real Estate Other Developed Markets],1):(INDEX(tblAssetMenuSpecs[Is Real Estate Other Developed Markets],NumberOfAssets))))</f>
        <v>0</v>
      </c>
      <c r="V113" s="280">
        <f>MMULT(INDEX(ReportAssetWeightsBaseline,ROW()-ROW(Q$95),1):INDEX(ReportAssetWeightsBaseline,ROW()-ROW(Q$95),NumberOfAssets),INT(INDEX(tblAssetMenuSpecs[Is Real Estate Commercial EU (non-leveraged)],1):(INDEX(tblAssetMenuSpecs[Is Real Estate Commercial EU (non-leveraged)],NumberOfAssets))))</f>
        <v>0</v>
      </c>
      <c r="W113" s="280">
        <f>MMULT(INDEX(ReportAssetWeightsBaseline,ROW()-ROW(P$95),1):INDEX(ReportAssetWeightsBaseline,ROW()-ROW(P$95),NumberOfAssets),INT(INDEX(tblAssetMenuSpecs[Is Real Estate Residential EU (non-leveraged)],1):(INDEX(tblAssetMenuSpecs[Is Real Estate Residential EU (non-leveraged)],NumberOfAssets))))</f>
        <v>0</v>
      </c>
      <c r="X113" s="280">
        <f>MMULT(INDEX(ReportAssetWeightsBaseline,ROW()-ROW(Q$95),1):INDEX(ReportAssetWeightsBaseline,ROW()-ROW(Q$95),NumberOfAssets),INT(INDEX(tblAssetMenuSpecs[Is Government Bond EU],1):(INDEX(tblAssetMenuSpecs[Is Government Bond EU],NumberOfAssets))))</f>
        <v>0</v>
      </c>
      <c r="Y113" s="280">
        <f>MMULT(INDEX(ReportAssetWeightsBaseline,ROW()-ROW(R$95),1):INDEX(ReportAssetWeightsBaseline,ROW()-ROW(R$95),NumberOfAssets),INT(INDEX(tblAssetMenuSpecs[Is Government Bond US],1):(INDEX(tblAssetMenuSpecs[Is Government Bond US],NumberOfAssets))))</f>
        <v>0</v>
      </c>
      <c r="Z113" s="280">
        <f>MMULT(INDEX(ReportAssetWeightsBaseline,ROW()-ROW(S$95),1):INDEX(ReportAssetWeightsBaseline,ROW()-ROW(S$95),NumberOfAssets),INT(INDEX(tblAssetMenuSpecs[Is Government Bond Other Developed Markets],1):(INDEX(tblAssetMenuSpecs[Is Government Bond Other Developed Markets],NumberOfAssets))))</f>
        <v>0</v>
      </c>
      <c r="AA113" s="280">
        <f>MMULT(INDEX(ReportAssetWeightsBaseline,ROW()-ROW(T$95),1):INDEX(ReportAssetWeightsBaseline,ROW()-ROW(T$95),NumberOfAssets),INT(INDEX(tblAssetMenuSpecs[Is Government Bond Emerging Markets],1):(INDEX(tblAssetMenuSpecs[Is Government Bond Emerging Markets],NumberOfAssets))))</f>
        <v>0</v>
      </c>
      <c r="AB113" s="280">
        <f>MMULT(INDEX(ReportAssetWeightsBaseline,ROW()-ROW(U$95),1):INDEX(ReportAssetWeightsBaseline,ROW()-ROW(U$95),NumberOfAssets),INT(INDEX(tblAssetMenuSpecs[Is Corporate Bond],1):(INDEX(tblAssetMenuSpecs[Is Corporate Bond],NumberOfAssets))))</f>
        <v>0</v>
      </c>
      <c r="AC113" s="280">
        <f>MMULT(INDEX(ReportAssetWeightsBaseline,ROW()-ROW(V$95),1):INDEX(ReportAssetWeightsBaseline,ROW()-ROW(V$95),NumberOfAssets),INT(INDEX(tblAssetMenuSpecs[Is Corporate Bond Non-Financial],1):(INDEX(tblAssetMenuSpecs[Is Corporate Bond Non-Financial],NumberOfAssets))))</f>
        <v>0</v>
      </c>
      <c r="AD113" s="280">
        <f>MMULT(INDEX(ReportAssetWeightsBaseline,ROW()-ROW(W$95),1):INDEX(ReportAssetWeightsBaseline,ROW()-ROW(W$95),NumberOfAssets),INT(INDEX(tblAssetMenuSpecs[Is Corporate Bond Financial],1):(INDEX(tblAssetMenuSpecs[Is Corporate Bond Financial],NumberOfAssets))))</f>
        <v>0</v>
      </c>
      <c r="AE113" s="280">
        <f>MMULT(INDEX(ReportAssetWeightsBaseline,ROW()-ROW(V$95),1):INDEX(ReportAssetWeightsBaseline,ROW()-ROW(V$95),NumberOfAssets),INT(INDEX(tblAssetMenuSpecs[Is Cash and Deposits],1):(INDEX(tblAssetMenuSpecs[Is Cash and Deposits],NumberOfAssets))))</f>
        <v>1</v>
      </c>
    </row>
    <row r="114" spans="6:31" x14ac:dyDescent="0.25">
      <c r="F114" s="278">
        <f t="shared" si="0"/>
        <v>2</v>
      </c>
      <c r="G114" s="279">
        <f>MMULT(INDEX(ReportAssetWeightsBaseline,ROW()-ROW(G$95),1):INDEX(ReportAssetWeightsBaseline,ROW()-ROW(G$95),NumberOfAssets),INT(INDEX(tblAssetMenuSpecs[IsEquities],1):(INDEX(tblAssetMenuSpecs[IsEquities],NumberOfAssets))))</f>
        <v>0</v>
      </c>
      <c r="H114" s="279">
        <f>MMULT(INDEX(ReportAssetWeightsBaseline,ROW()-ROW(H$95),1):INDEX(ReportAssetWeightsBaseline,ROW()-ROW(H$95),NumberOfAssets),INT(INDEX(tblAssetMenuSpecs[IsRealEstate],1):(INDEX(tblAssetMenuSpecs[IsRealEstate],NumberOfAssets))))</f>
        <v>0</v>
      </c>
      <c r="I114" s="279">
        <f>MMULT(INDEX(ReportAssetWeightsBaseline,ROW()-ROW(I$95),1):INDEX(ReportAssetWeightsBaseline,ROW()-ROW(I$95),NumberOfAssets),INT(INDEX(tblAssetMenuSpecs[IsAlternatives],1):(INDEX(tblAssetMenuSpecs[IsAlternatives],NumberOfAssets))))</f>
        <v>0</v>
      </c>
      <c r="J114" s="279">
        <f>MMULT(INDEX(ReportAssetWeightsBaseline,ROW()-ROW(J$95),1):INDEX(ReportAssetWeightsBaseline,ROW()-ROW(J$95),NumberOfAssets),INT(INDEX(tblAssetMenuSpecs[IsFixedIncome],1):(INDEX(tblAssetMenuSpecs[IsFixedIncome],NumberOfAssets))))</f>
        <v>1</v>
      </c>
      <c r="L114" s="280">
        <f>MMULT(INDEX(ReportAssetWeightsBaseline,ROW()-ROW(G$95),1):INDEX(ReportAssetWeightsBaseline,ROW()-ROW(G$95),NumberOfAssets),INT(INDEX(tblAssetMenuSpecs[Is Equities EU],1):(INDEX(tblAssetMenuSpecs[Is Equities EU],NumberOfAssets))))</f>
        <v>0</v>
      </c>
      <c r="M114" s="280">
        <f>MMULT(INDEX(ReportAssetWeightsBaseline,ROW()-ROW(H$95),1):INDEX(ReportAssetWeightsBaseline,ROW()-ROW(H$95),NumberOfAssets),INT(INDEX(tblAssetMenuSpecs[Is Equities US],1):(INDEX(tblAssetMenuSpecs[Is Equities US],NumberOfAssets))))</f>
        <v>0</v>
      </c>
      <c r="N114" s="280">
        <f>MMULT(INDEX(ReportAssetWeightsBaseline,ROW()-ROW(I$95),1):INDEX(ReportAssetWeightsBaseline,ROW()-ROW(I$95),NumberOfAssets),INT(INDEX(tblAssetMenuSpecs[Is Equities Other Developed Markets],1):(INDEX(tblAssetMenuSpecs[Is Equities Other Developed Markets],NumberOfAssets))))</f>
        <v>0</v>
      </c>
      <c r="O114" s="280">
        <f>MMULT(INDEX(ReportAssetWeightsBaseline,ROW()-ROW(J$95),1):INDEX(ReportAssetWeightsBaseline,ROW()-ROW(J$95),NumberOfAssets),INT(INDEX(tblAssetMenuSpecs[Is Equities Emerging Markets],1):(INDEX(tblAssetMenuSpecs[Is Equities Emerging Markets],NumberOfAssets))))</f>
        <v>0</v>
      </c>
      <c r="P114" s="280">
        <f>MMULT(INDEX(ReportAssetWeightsBaseline,ROW()-ROW(K$95),1):INDEX(ReportAssetWeightsBaseline,ROW()-ROW(K$95),NumberOfAssets),INT(INDEX(tblAssetMenuSpecs[Is Commodities],1):(INDEX(tblAssetMenuSpecs[Is Commodities],NumberOfAssets))))</f>
        <v>0</v>
      </c>
      <c r="Q114" s="280">
        <f>MMULT(INDEX(ReportAssetWeightsBaseline,ROW()-ROW(L$95),1):INDEX(ReportAssetWeightsBaseline,ROW()-ROW(L$95),NumberOfAssets),INT(INDEX(tblAssetMenuSpecs[Is Private Equity],1):(INDEX(tblAssetMenuSpecs[Is Private Equity],NumberOfAssets))))</f>
        <v>0</v>
      </c>
      <c r="R114" s="280">
        <f>MMULT(INDEX(ReportAssetWeightsBaseline,ROW()-ROW(M$95),1):INDEX(ReportAssetWeightsBaseline,ROW()-ROW(M$95),NumberOfAssets),INT(INDEX(tblAssetMenuSpecs[Is Hedge Funds],1):(INDEX(tblAssetMenuSpecs[Is Hedge Funds],NumberOfAssets))))</f>
        <v>0</v>
      </c>
      <c r="S114" s="280">
        <f>MMULT(INDEX(ReportAssetWeightsBaseline,ROW()-ROW(N$95),1):INDEX(ReportAssetWeightsBaseline,ROW()-ROW(N$95),NumberOfAssets),INT(INDEX(tblAssetMenuSpecs[Is Real Estate EU],1):(INDEX(tblAssetMenuSpecs[Is Real Estate EU],NumberOfAssets))))</f>
        <v>0</v>
      </c>
      <c r="T114" s="280">
        <f>MMULT(INDEX(ReportAssetWeightsBaseline,ROW()-ROW(O$95),1):INDEX(ReportAssetWeightsBaseline,ROW()-ROW(O$95),NumberOfAssets),INT(INDEX(tblAssetMenuSpecs[Is Real Estate US],1):(INDEX(tblAssetMenuSpecs[Is Real Estate US],NumberOfAssets))))</f>
        <v>0</v>
      </c>
      <c r="U114" s="280">
        <f>MMULT(INDEX(ReportAssetWeightsBaseline,ROW()-ROW(P$95),1):INDEX(ReportAssetWeightsBaseline,ROW()-ROW(P$95),NumberOfAssets),INT(INDEX(tblAssetMenuSpecs[Is Real Estate Other Developed Markets],1):(INDEX(tblAssetMenuSpecs[Is Real Estate Other Developed Markets],NumberOfAssets))))</f>
        <v>0</v>
      </c>
      <c r="V114" s="280">
        <f>MMULT(INDEX(ReportAssetWeightsBaseline,ROW()-ROW(Q$95),1):INDEX(ReportAssetWeightsBaseline,ROW()-ROW(Q$95),NumberOfAssets),INT(INDEX(tblAssetMenuSpecs[Is Real Estate Commercial EU (non-leveraged)],1):(INDEX(tblAssetMenuSpecs[Is Real Estate Commercial EU (non-leveraged)],NumberOfAssets))))</f>
        <v>0</v>
      </c>
      <c r="W114" s="280">
        <f>MMULT(INDEX(ReportAssetWeightsBaseline,ROW()-ROW(P$95),1):INDEX(ReportAssetWeightsBaseline,ROW()-ROW(P$95),NumberOfAssets),INT(INDEX(tblAssetMenuSpecs[Is Real Estate Residential EU (non-leveraged)],1):(INDEX(tblAssetMenuSpecs[Is Real Estate Residential EU (non-leveraged)],NumberOfAssets))))</f>
        <v>0</v>
      </c>
      <c r="X114" s="280">
        <f>MMULT(INDEX(ReportAssetWeightsBaseline,ROW()-ROW(Q$95),1):INDEX(ReportAssetWeightsBaseline,ROW()-ROW(Q$95),NumberOfAssets),INT(INDEX(tblAssetMenuSpecs[Is Government Bond EU],1):(INDEX(tblAssetMenuSpecs[Is Government Bond EU],NumberOfAssets))))</f>
        <v>0</v>
      </c>
      <c r="Y114" s="280">
        <f>MMULT(INDEX(ReportAssetWeightsBaseline,ROW()-ROW(R$95),1):INDEX(ReportAssetWeightsBaseline,ROW()-ROW(R$95),NumberOfAssets),INT(INDEX(tblAssetMenuSpecs[Is Government Bond US],1):(INDEX(tblAssetMenuSpecs[Is Government Bond US],NumberOfAssets))))</f>
        <v>0</v>
      </c>
      <c r="Z114" s="280">
        <f>MMULT(INDEX(ReportAssetWeightsBaseline,ROW()-ROW(S$95),1):INDEX(ReportAssetWeightsBaseline,ROW()-ROW(S$95),NumberOfAssets),INT(INDEX(tblAssetMenuSpecs[Is Government Bond Other Developed Markets],1):(INDEX(tblAssetMenuSpecs[Is Government Bond Other Developed Markets],NumberOfAssets))))</f>
        <v>0</v>
      </c>
      <c r="AA114" s="280">
        <f>MMULT(INDEX(ReportAssetWeightsBaseline,ROW()-ROW(T$95),1):INDEX(ReportAssetWeightsBaseline,ROW()-ROW(T$95),NumberOfAssets),INT(INDEX(tblAssetMenuSpecs[Is Government Bond Emerging Markets],1):(INDEX(tblAssetMenuSpecs[Is Government Bond Emerging Markets],NumberOfAssets))))</f>
        <v>0</v>
      </c>
      <c r="AB114" s="280">
        <f>MMULT(INDEX(ReportAssetWeightsBaseline,ROW()-ROW(U$95),1):INDEX(ReportAssetWeightsBaseline,ROW()-ROW(U$95),NumberOfAssets),INT(INDEX(tblAssetMenuSpecs[Is Corporate Bond],1):(INDEX(tblAssetMenuSpecs[Is Corporate Bond],NumberOfAssets))))</f>
        <v>0</v>
      </c>
      <c r="AC114" s="280">
        <f>MMULT(INDEX(ReportAssetWeightsBaseline,ROW()-ROW(V$95),1):INDEX(ReportAssetWeightsBaseline,ROW()-ROW(V$95),NumberOfAssets),INT(INDEX(tblAssetMenuSpecs[Is Corporate Bond Non-Financial],1):(INDEX(tblAssetMenuSpecs[Is Corporate Bond Non-Financial],NumberOfAssets))))</f>
        <v>0</v>
      </c>
      <c r="AD114" s="280">
        <f>MMULT(INDEX(ReportAssetWeightsBaseline,ROW()-ROW(W$95),1):INDEX(ReportAssetWeightsBaseline,ROW()-ROW(W$95),NumberOfAssets),INT(INDEX(tblAssetMenuSpecs[Is Corporate Bond Financial],1):(INDEX(tblAssetMenuSpecs[Is Corporate Bond Financial],NumberOfAssets))))</f>
        <v>0</v>
      </c>
      <c r="AE114" s="280">
        <f>MMULT(INDEX(ReportAssetWeightsBaseline,ROW()-ROW(V$95),1):INDEX(ReportAssetWeightsBaseline,ROW()-ROW(V$95),NumberOfAssets),INT(INDEX(tblAssetMenuSpecs[Is Cash and Deposits],1):(INDEX(tblAssetMenuSpecs[Is Cash and Deposits],NumberOfAssets))))</f>
        <v>1</v>
      </c>
    </row>
    <row r="115" spans="6:31" x14ac:dyDescent="0.25">
      <c r="F115" s="278">
        <f t="shared" si="0"/>
        <v>1</v>
      </c>
      <c r="G115" s="279">
        <f>MMULT(INDEX(ReportAssetWeightsBaseline,ROW()-ROW(G$95),1):INDEX(ReportAssetWeightsBaseline,ROW()-ROW(G$95),NumberOfAssets),INT(INDEX(tblAssetMenuSpecs[IsEquities],1):(INDEX(tblAssetMenuSpecs[IsEquities],NumberOfAssets))))</f>
        <v>0</v>
      </c>
      <c r="H115" s="279">
        <f>MMULT(INDEX(ReportAssetWeightsBaseline,ROW()-ROW(H$95),1):INDEX(ReportAssetWeightsBaseline,ROW()-ROW(H$95),NumberOfAssets),INT(INDEX(tblAssetMenuSpecs[IsRealEstate],1):(INDEX(tblAssetMenuSpecs[IsRealEstate],NumberOfAssets))))</f>
        <v>0</v>
      </c>
      <c r="I115" s="279">
        <f>MMULT(INDEX(ReportAssetWeightsBaseline,ROW()-ROW(I$95),1):INDEX(ReportAssetWeightsBaseline,ROW()-ROW(I$95),NumberOfAssets),INT(INDEX(tblAssetMenuSpecs[IsAlternatives],1):(INDEX(tblAssetMenuSpecs[IsAlternatives],NumberOfAssets))))</f>
        <v>0</v>
      </c>
      <c r="J115" s="279">
        <f>MMULT(INDEX(ReportAssetWeightsBaseline,ROW()-ROW(J$95),1):INDEX(ReportAssetWeightsBaseline,ROW()-ROW(J$95),NumberOfAssets),INT(INDEX(tblAssetMenuSpecs[IsFixedIncome],1):(INDEX(tblAssetMenuSpecs[IsFixedIncome],NumberOfAssets))))</f>
        <v>1</v>
      </c>
      <c r="L115" s="280">
        <f>MMULT(INDEX(ReportAssetWeightsBaseline,ROW()-ROW(G$95),1):INDEX(ReportAssetWeightsBaseline,ROW()-ROW(G$95),NumberOfAssets),INT(INDEX(tblAssetMenuSpecs[Is Equities EU],1):(INDEX(tblAssetMenuSpecs[Is Equities EU],NumberOfAssets))))</f>
        <v>0</v>
      </c>
      <c r="M115" s="280">
        <f>MMULT(INDEX(ReportAssetWeightsBaseline,ROW()-ROW(H$95),1):INDEX(ReportAssetWeightsBaseline,ROW()-ROW(H$95),NumberOfAssets),INT(INDEX(tblAssetMenuSpecs[Is Equities US],1):(INDEX(tblAssetMenuSpecs[Is Equities US],NumberOfAssets))))</f>
        <v>0</v>
      </c>
      <c r="N115" s="280">
        <f>MMULT(INDEX(ReportAssetWeightsBaseline,ROW()-ROW(I$95),1):INDEX(ReportAssetWeightsBaseline,ROW()-ROW(I$95),NumberOfAssets),INT(INDEX(tblAssetMenuSpecs[Is Equities Other Developed Markets],1):(INDEX(tblAssetMenuSpecs[Is Equities Other Developed Markets],NumberOfAssets))))</f>
        <v>0</v>
      </c>
      <c r="O115" s="280">
        <f>MMULT(INDEX(ReportAssetWeightsBaseline,ROW()-ROW(J$95),1):INDEX(ReportAssetWeightsBaseline,ROW()-ROW(J$95),NumberOfAssets),INT(INDEX(tblAssetMenuSpecs[Is Equities Emerging Markets],1):(INDEX(tblAssetMenuSpecs[Is Equities Emerging Markets],NumberOfAssets))))</f>
        <v>0</v>
      </c>
      <c r="P115" s="280">
        <f>MMULT(INDEX(ReportAssetWeightsBaseline,ROW()-ROW(K$95),1):INDEX(ReportAssetWeightsBaseline,ROW()-ROW(K$95),NumberOfAssets),INT(INDEX(tblAssetMenuSpecs[Is Commodities],1):(INDEX(tblAssetMenuSpecs[Is Commodities],NumberOfAssets))))</f>
        <v>0</v>
      </c>
      <c r="Q115" s="280">
        <f>MMULT(INDEX(ReportAssetWeightsBaseline,ROW()-ROW(L$95),1):INDEX(ReportAssetWeightsBaseline,ROW()-ROW(L$95),NumberOfAssets),INT(INDEX(tblAssetMenuSpecs[Is Private Equity],1):(INDEX(tblAssetMenuSpecs[Is Private Equity],NumberOfAssets))))</f>
        <v>0</v>
      </c>
      <c r="R115" s="280">
        <f>MMULT(INDEX(ReportAssetWeightsBaseline,ROW()-ROW(M$95),1):INDEX(ReportAssetWeightsBaseline,ROW()-ROW(M$95),NumberOfAssets),INT(INDEX(tblAssetMenuSpecs[Is Hedge Funds],1):(INDEX(tblAssetMenuSpecs[Is Hedge Funds],NumberOfAssets))))</f>
        <v>0</v>
      </c>
      <c r="S115" s="280">
        <f>MMULT(INDEX(ReportAssetWeightsBaseline,ROW()-ROW(N$95),1):INDEX(ReportAssetWeightsBaseline,ROW()-ROW(N$95),NumberOfAssets),INT(INDEX(tblAssetMenuSpecs[Is Real Estate EU],1):(INDEX(tblAssetMenuSpecs[Is Real Estate EU],NumberOfAssets))))</f>
        <v>0</v>
      </c>
      <c r="T115" s="280">
        <f>MMULT(INDEX(ReportAssetWeightsBaseline,ROW()-ROW(O$95),1):INDEX(ReportAssetWeightsBaseline,ROW()-ROW(O$95),NumberOfAssets),INT(INDEX(tblAssetMenuSpecs[Is Real Estate US],1):(INDEX(tblAssetMenuSpecs[Is Real Estate US],NumberOfAssets))))</f>
        <v>0</v>
      </c>
      <c r="U115" s="280">
        <f>MMULT(INDEX(ReportAssetWeightsBaseline,ROW()-ROW(P$95),1):INDEX(ReportAssetWeightsBaseline,ROW()-ROW(P$95),NumberOfAssets),INT(INDEX(tblAssetMenuSpecs[Is Real Estate Other Developed Markets],1):(INDEX(tblAssetMenuSpecs[Is Real Estate Other Developed Markets],NumberOfAssets))))</f>
        <v>0</v>
      </c>
      <c r="V115" s="280">
        <f>MMULT(INDEX(ReportAssetWeightsBaseline,ROW()-ROW(Q$95),1):INDEX(ReportAssetWeightsBaseline,ROW()-ROW(Q$95),NumberOfAssets),INT(INDEX(tblAssetMenuSpecs[Is Real Estate Commercial EU (non-leveraged)],1):(INDEX(tblAssetMenuSpecs[Is Real Estate Commercial EU (non-leveraged)],NumberOfAssets))))</f>
        <v>0</v>
      </c>
      <c r="W115" s="280">
        <f>MMULT(INDEX(ReportAssetWeightsBaseline,ROW()-ROW(P$95),1):INDEX(ReportAssetWeightsBaseline,ROW()-ROW(P$95),NumberOfAssets),INT(INDEX(tblAssetMenuSpecs[Is Real Estate Residential EU (non-leveraged)],1):(INDEX(tblAssetMenuSpecs[Is Real Estate Residential EU (non-leveraged)],NumberOfAssets))))</f>
        <v>0</v>
      </c>
      <c r="X115" s="280">
        <f>MMULT(INDEX(ReportAssetWeightsBaseline,ROW()-ROW(Q$95),1):INDEX(ReportAssetWeightsBaseline,ROW()-ROW(Q$95),NumberOfAssets),INT(INDEX(tblAssetMenuSpecs[Is Government Bond EU],1):(INDEX(tblAssetMenuSpecs[Is Government Bond EU],NumberOfAssets))))</f>
        <v>0</v>
      </c>
      <c r="Y115" s="280">
        <f>MMULT(INDEX(ReportAssetWeightsBaseline,ROW()-ROW(R$95),1):INDEX(ReportAssetWeightsBaseline,ROW()-ROW(R$95),NumberOfAssets),INT(INDEX(tblAssetMenuSpecs[Is Government Bond US],1):(INDEX(tblAssetMenuSpecs[Is Government Bond US],NumberOfAssets))))</f>
        <v>0</v>
      </c>
      <c r="Z115" s="280">
        <f>MMULT(INDEX(ReportAssetWeightsBaseline,ROW()-ROW(S$95),1):INDEX(ReportAssetWeightsBaseline,ROW()-ROW(S$95),NumberOfAssets),INT(INDEX(tblAssetMenuSpecs[Is Government Bond Other Developed Markets],1):(INDEX(tblAssetMenuSpecs[Is Government Bond Other Developed Markets],NumberOfAssets))))</f>
        <v>0</v>
      </c>
      <c r="AA115" s="280">
        <f>MMULT(INDEX(ReportAssetWeightsBaseline,ROW()-ROW(T$95),1):INDEX(ReportAssetWeightsBaseline,ROW()-ROW(T$95),NumberOfAssets),INT(INDEX(tblAssetMenuSpecs[Is Government Bond Emerging Markets],1):(INDEX(tblAssetMenuSpecs[Is Government Bond Emerging Markets],NumberOfAssets))))</f>
        <v>0</v>
      </c>
      <c r="AB115" s="280">
        <f>MMULT(INDEX(ReportAssetWeightsBaseline,ROW()-ROW(U$95),1):INDEX(ReportAssetWeightsBaseline,ROW()-ROW(U$95),NumberOfAssets),INT(INDEX(tblAssetMenuSpecs[Is Corporate Bond],1):(INDEX(tblAssetMenuSpecs[Is Corporate Bond],NumberOfAssets))))</f>
        <v>0</v>
      </c>
      <c r="AC115" s="280">
        <f>MMULT(INDEX(ReportAssetWeightsBaseline,ROW()-ROW(V$95),1):INDEX(ReportAssetWeightsBaseline,ROW()-ROW(V$95),NumberOfAssets),INT(INDEX(tblAssetMenuSpecs[Is Corporate Bond Non-Financial],1):(INDEX(tblAssetMenuSpecs[Is Corporate Bond Non-Financial],NumberOfAssets))))</f>
        <v>0</v>
      </c>
      <c r="AD115" s="280">
        <f>MMULT(INDEX(ReportAssetWeightsBaseline,ROW()-ROW(W$95),1):INDEX(ReportAssetWeightsBaseline,ROW()-ROW(W$95),NumberOfAssets),INT(INDEX(tblAssetMenuSpecs[Is Corporate Bond Financial],1):(INDEX(tblAssetMenuSpecs[Is Corporate Bond Financial],NumberOfAssets))))</f>
        <v>0</v>
      </c>
      <c r="AE115" s="280">
        <f>MMULT(INDEX(ReportAssetWeightsBaseline,ROW()-ROW(V$95),1):INDEX(ReportAssetWeightsBaseline,ROW()-ROW(V$95),NumberOfAssets),INT(INDEX(tblAssetMenuSpecs[Is Cash and Deposits],1):(INDEX(tblAssetMenuSpecs[Is Cash and Deposits],NumberOfAssets))))</f>
        <v>1</v>
      </c>
    </row>
    <row r="116" spans="6:31" x14ac:dyDescent="0.25">
      <c r="F116" s="278">
        <f t="shared" si="0"/>
        <v>0</v>
      </c>
      <c r="G116" s="279">
        <f>MMULT(INDEX(ReportAssetWeightsBaseline,ROW()-ROW(G$95),1):INDEX(ReportAssetWeightsBaseline,ROW()-ROW(G$95),NumberOfAssets),INT(INDEX(tblAssetMenuSpecs[IsEquities],1):(INDEX(tblAssetMenuSpecs[IsEquities],NumberOfAssets))))</f>
        <v>0</v>
      </c>
      <c r="H116" s="279">
        <f>MMULT(INDEX(ReportAssetWeightsBaseline,ROW()-ROW(H$95),1):INDEX(ReportAssetWeightsBaseline,ROW()-ROW(H$95),NumberOfAssets),INT(INDEX(tblAssetMenuSpecs[IsRealEstate],1):(INDEX(tblAssetMenuSpecs[IsRealEstate],NumberOfAssets))))</f>
        <v>0</v>
      </c>
      <c r="I116" s="279">
        <f>MMULT(INDEX(ReportAssetWeightsBaseline,ROW()-ROW(I$95),1):INDEX(ReportAssetWeightsBaseline,ROW()-ROW(I$95),NumberOfAssets),INT(INDEX(tblAssetMenuSpecs[IsAlternatives],1):(INDEX(tblAssetMenuSpecs[IsAlternatives],NumberOfAssets))))</f>
        <v>0</v>
      </c>
      <c r="J116" s="279">
        <f>MMULT(INDEX(ReportAssetWeightsBaseline,ROW()-ROW(J$95),1):INDEX(ReportAssetWeightsBaseline,ROW()-ROW(J$95),NumberOfAssets),INT(INDEX(tblAssetMenuSpecs[IsFixedIncome],1):(INDEX(tblAssetMenuSpecs[IsFixedIncome],NumberOfAssets))))</f>
        <v>1</v>
      </c>
      <c r="L116" s="280">
        <f>MMULT(INDEX(ReportAssetWeightsBaseline,ROW()-ROW(G$95),1):INDEX(ReportAssetWeightsBaseline,ROW()-ROW(G$95),NumberOfAssets),INT(INDEX(tblAssetMenuSpecs[Is Equities EU],1):(INDEX(tblAssetMenuSpecs[Is Equities EU],NumberOfAssets))))</f>
        <v>0</v>
      </c>
      <c r="M116" s="280">
        <f>MMULT(INDEX(ReportAssetWeightsBaseline,ROW()-ROW(H$95),1):INDEX(ReportAssetWeightsBaseline,ROW()-ROW(H$95),NumberOfAssets),INT(INDEX(tblAssetMenuSpecs[Is Equities US],1):(INDEX(tblAssetMenuSpecs[Is Equities US],NumberOfAssets))))</f>
        <v>0</v>
      </c>
      <c r="N116" s="280">
        <f>MMULT(INDEX(ReportAssetWeightsBaseline,ROW()-ROW(I$95),1):INDEX(ReportAssetWeightsBaseline,ROW()-ROW(I$95),NumberOfAssets),INT(INDEX(tblAssetMenuSpecs[Is Equities Other Developed Markets],1):(INDEX(tblAssetMenuSpecs[Is Equities Other Developed Markets],NumberOfAssets))))</f>
        <v>0</v>
      </c>
      <c r="O116" s="280">
        <f>MMULT(INDEX(ReportAssetWeightsBaseline,ROW()-ROW(J$95),1):INDEX(ReportAssetWeightsBaseline,ROW()-ROW(J$95),NumberOfAssets),INT(INDEX(tblAssetMenuSpecs[Is Equities Emerging Markets],1):(INDEX(tblAssetMenuSpecs[Is Equities Emerging Markets],NumberOfAssets))))</f>
        <v>0</v>
      </c>
      <c r="P116" s="280">
        <f>MMULT(INDEX(ReportAssetWeightsBaseline,ROW()-ROW(K$95),1):INDEX(ReportAssetWeightsBaseline,ROW()-ROW(K$95),NumberOfAssets),INT(INDEX(tblAssetMenuSpecs[Is Commodities],1):(INDEX(tblAssetMenuSpecs[Is Commodities],NumberOfAssets))))</f>
        <v>0</v>
      </c>
      <c r="Q116" s="280">
        <f>MMULT(INDEX(ReportAssetWeightsBaseline,ROW()-ROW(L$95),1):INDEX(ReportAssetWeightsBaseline,ROW()-ROW(L$95),NumberOfAssets),INT(INDEX(tblAssetMenuSpecs[Is Private Equity],1):(INDEX(tblAssetMenuSpecs[Is Private Equity],NumberOfAssets))))</f>
        <v>0</v>
      </c>
      <c r="R116" s="280">
        <f>MMULT(INDEX(ReportAssetWeightsBaseline,ROW()-ROW(M$95),1):INDEX(ReportAssetWeightsBaseline,ROW()-ROW(M$95),NumberOfAssets),INT(INDEX(tblAssetMenuSpecs[Is Hedge Funds],1):(INDEX(tblAssetMenuSpecs[Is Hedge Funds],NumberOfAssets))))</f>
        <v>0</v>
      </c>
      <c r="S116" s="280">
        <f>MMULT(INDEX(ReportAssetWeightsBaseline,ROW()-ROW(N$95),1):INDEX(ReportAssetWeightsBaseline,ROW()-ROW(N$95),NumberOfAssets),INT(INDEX(tblAssetMenuSpecs[Is Real Estate EU],1):(INDEX(tblAssetMenuSpecs[Is Real Estate EU],NumberOfAssets))))</f>
        <v>0</v>
      </c>
      <c r="T116" s="280">
        <f>MMULT(INDEX(ReportAssetWeightsBaseline,ROW()-ROW(O$95),1):INDEX(ReportAssetWeightsBaseline,ROW()-ROW(O$95),NumberOfAssets),INT(INDEX(tblAssetMenuSpecs[Is Real Estate US],1):(INDEX(tblAssetMenuSpecs[Is Real Estate US],NumberOfAssets))))</f>
        <v>0</v>
      </c>
      <c r="U116" s="280">
        <f>MMULT(INDEX(ReportAssetWeightsBaseline,ROW()-ROW(P$95),1):INDEX(ReportAssetWeightsBaseline,ROW()-ROW(P$95),NumberOfAssets),INT(INDEX(tblAssetMenuSpecs[Is Real Estate Other Developed Markets],1):(INDEX(tblAssetMenuSpecs[Is Real Estate Other Developed Markets],NumberOfAssets))))</f>
        <v>0</v>
      </c>
      <c r="V116" s="280">
        <f>MMULT(INDEX(ReportAssetWeightsBaseline,ROW()-ROW(Q$95),1):INDEX(ReportAssetWeightsBaseline,ROW()-ROW(Q$95),NumberOfAssets),INT(INDEX(tblAssetMenuSpecs[Is Real Estate Commercial EU (non-leveraged)],1):(INDEX(tblAssetMenuSpecs[Is Real Estate Commercial EU (non-leveraged)],NumberOfAssets))))</f>
        <v>0</v>
      </c>
      <c r="W116" s="280">
        <f>MMULT(INDEX(ReportAssetWeightsBaseline,ROW()-ROW(P$95),1):INDEX(ReportAssetWeightsBaseline,ROW()-ROW(P$95),NumberOfAssets),INT(INDEX(tblAssetMenuSpecs[Is Real Estate Residential EU (non-leveraged)],1):(INDEX(tblAssetMenuSpecs[Is Real Estate Residential EU (non-leveraged)],NumberOfAssets))))</f>
        <v>0</v>
      </c>
      <c r="X116" s="280">
        <f>MMULT(INDEX(ReportAssetWeightsBaseline,ROW()-ROW(Q$95),1):INDEX(ReportAssetWeightsBaseline,ROW()-ROW(Q$95),NumberOfAssets),INT(INDEX(tblAssetMenuSpecs[Is Government Bond EU],1):(INDEX(tblAssetMenuSpecs[Is Government Bond EU],NumberOfAssets))))</f>
        <v>0</v>
      </c>
      <c r="Y116" s="280">
        <f>MMULT(INDEX(ReportAssetWeightsBaseline,ROW()-ROW(R$95),1):INDEX(ReportAssetWeightsBaseline,ROW()-ROW(R$95),NumberOfAssets),INT(INDEX(tblAssetMenuSpecs[Is Government Bond US],1):(INDEX(tblAssetMenuSpecs[Is Government Bond US],NumberOfAssets))))</f>
        <v>0</v>
      </c>
      <c r="Z116" s="280">
        <f>MMULT(INDEX(ReportAssetWeightsBaseline,ROW()-ROW(S$95),1):INDEX(ReportAssetWeightsBaseline,ROW()-ROW(S$95),NumberOfAssets),INT(INDEX(tblAssetMenuSpecs[Is Government Bond Other Developed Markets],1):(INDEX(tblAssetMenuSpecs[Is Government Bond Other Developed Markets],NumberOfAssets))))</f>
        <v>0</v>
      </c>
      <c r="AA116" s="280">
        <f>MMULT(INDEX(ReportAssetWeightsBaseline,ROW()-ROW(T$95),1):INDEX(ReportAssetWeightsBaseline,ROW()-ROW(T$95),NumberOfAssets),INT(INDEX(tblAssetMenuSpecs[Is Government Bond Emerging Markets],1):(INDEX(tblAssetMenuSpecs[Is Government Bond Emerging Markets],NumberOfAssets))))</f>
        <v>0</v>
      </c>
      <c r="AB116" s="280">
        <f>MMULT(INDEX(ReportAssetWeightsBaseline,ROW()-ROW(U$95),1):INDEX(ReportAssetWeightsBaseline,ROW()-ROW(U$95),NumberOfAssets),INT(INDEX(tblAssetMenuSpecs[Is Corporate Bond],1):(INDEX(tblAssetMenuSpecs[Is Corporate Bond],NumberOfAssets))))</f>
        <v>0</v>
      </c>
      <c r="AC116" s="280">
        <f>MMULT(INDEX(ReportAssetWeightsBaseline,ROW()-ROW(V$95),1):INDEX(ReportAssetWeightsBaseline,ROW()-ROW(V$95),NumberOfAssets),INT(INDEX(tblAssetMenuSpecs[Is Corporate Bond Non-Financial],1):(INDEX(tblAssetMenuSpecs[Is Corporate Bond Non-Financial],NumberOfAssets))))</f>
        <v>0</v>
      </c>
      <c r="AD116" s="280">
        <f>MMULT(INDEX(ReportAssetWeightsBaseline,ROW()-ROW(W$95),1):INDEX(ReportAssetWeightsBaseline,ROW()-ROW(W$95),NumberOfAssets),INT(INDEX(tblAssetMenuSpecs[Is Corporate Bond Financial],1):(INDEX(tblAssetMenuSpecs[Is Corporate Bond Financial],NumberOfAssets))))</f>
        <v>0</v>
      </c>
      <c r="AE116" s="280">
        <f>MMULT(INDEX(ReportAssetWeightsBaseline,ROW()-ROW(V$95),1):INDEX(ReportAssetWeightsBaseline,ROW()-ROW(V$95),NumberOfAssets),INT(INDEX(tblAssetMenuSpecs[Is Cash and Deposits],1):(INDEX(tblAssetMenuSpecs[Is Cash and Deposits],NumberOfAssets))))</f>
        <v>1</v>
      </c>
    </row>
    <row r="118" spans="6:31" ht="18.75" x14ac:dyDescent="0.3">
      <c r="F118" s="275" t="s">
        <v>544</v>
      </c>
      <c r="G118" s="275"/>
      <c r="H118" s="275"/>
      <c r="I118" s="275"/>
      <c r="J118" s="275"/>
      <c r="L118" s="275" t="s">
        <v>544</v>
      </c>
      <c r="M118" s="236"/>
      <c r="N118" s="236"/>
      <c r="O118" s="236"/>
      <c r="P118" s="236"/>
      <c r="Q118" s="236"/>
      <c r="R118" s="236"/>
      <c r="S118" s="236"/>
      <c r="T118" s="236"/>
      <c r="U118" s="236"/>
      <c r="V118" s="236"/>
      <c r="W118" s="236"/>
      <c r="X118" s="236"/>
      <c r="Y118" s="236"/>
      <c r="Z118" s="236"/>
      <c r="AA118" s="236"/>
      <c r="AB118" s="236"/>
      <c r="AC118" s="236"/>
      <c r="AD118" s="236"/>
      <c r="AE118" s="236"/>
    </row>
    <row r="119" spans="6:31" ht="18.75" x14ac:dyDescent="0.3">
      <c r="F119" s="275" t="s">
        <v>447</v>
      </c>
      <c r="G119" s="275"/>
      <c r="H119" s="275"/>
      <c r="I119" s="275"/>
      <c r="J119" s="275"/>
      <c r="L119" s="276" t="s">
        <v>448</v>
      </c>
      <c r="M119" s="236"/>
      <c r="N119" s="236"/>
      <c r="O119" s="236"/>
      <c r="P119" s="236"/>
      <c r="Q119" s="236"/>
      <c r="R119" s="236"/>
      <c r="S119" s="236"/>
      <c r="T119" s="236"/>
      <c r="U119" s="236"/>
      <c r="V119" s="236"/>
      <c r="W119" s="236"/>
      <c r="X119" s="236"/>
      <c r="Y119" s="236"/>
      <c r="Z119" s="236"/>
      <c r="AA119" s="236"/>
      <c r="AB119" s="236"/>
      <c r="AC119" s="236"/>
      <c r="AD119" s="236"/>
      <c r="AE119" s="236"/>
    </row>
    <row r="120" spans="6:31" ht="48.75" x14ac:dyDescent="0.25">
      <c r="F120" s="236" t="s">
        <v>346</v>
      </c>
      <c r="G120" s="252" t="s">
        <v>44</v>
      </c>
      <c r="H120" s="277" t="s">
        <v>265</v>
      </c>
      <c r="I120" s="277" t="s">
        <v>264</v>
      </c>
      <c r="J120" s="277" t="s">
        <v>45</v>
      </c>
      <c r="L120" s="334" t="s">
        <v>541</v>
      </c>
      <c r="M120" s="334" t="s">
        <v>257</v>
      </c>
      <c r="N120" s="334" t="s">
        <v>652</v>
      </c>
      <c r="O120" s="334" t="s">
        <v>262</v>
      </c>
      <c r="P120" s="334" t="s">
        <v>258</v>
      </c>
      <c r="Q120" s="334" t="s">
        <v>259</v>
      </c>
      <c r="R120" s="334" t="s">
        <v>260</v>
      </c>
      <c r="S120" s="334" t="s">
        <v>373</v>
      </c>
      <c r="T120" s="334" t="s">
        <v>650</v>
      </c>
      <c r="U120" s="334" t="s">
        <v>653</v>
      </c>
      <c r="V120" s="334" t="s">
        <v>533</v>
      </c>
      <c r="W120" s="334" t="s">
        <v>534</v>
      </c>
      <c r="X120" s="334" t="s">
        <v>691</v>
      </c>
      <c r="Y120" s="334" t="s">
        <v>692</v>
      </c>
      <c r="Z120" s="334" t="s">
        <v>693</v>
      </c>
      <c r="AA120" s="334" t="s">
        <v>694</v>
      </c>
      <c r="AB120" s="334" t="s">
        <v>695</v>
      </c>
      <c r="AC120" s="334" t="s">
        <v>696</v>
      </c>
      <c r="AD120" s="334" t="s">
        <v>697</v>
      </c>
      <c r="AE120" s="334" t="s">
        <v>266</v>
      </c>
    </row>
    <row r="121" spans="6:31" x14ac:dyDescent="0.25">
      <c r="F121" s="278">
        <f t="shared" ref="F121:F141" si="1">INDEX(ReportYTR,ROW()-ROW(F$120))</f>
        <v>20</v>
      </c>
      <c r="G121" s="279">
        <f>MMULT(INDEX(ReportAssetWeightsAdverse,ROW()-ROW(G$120),1):INDEX(ReportAssetWeightsAdverse,ROW()-ROW(G$120),NumberOfAssets),INT(INDEX(tblAssetMenuSpecs[IsEquities],1):(INDEX(tblAssetMenuSpecs[IsEquities],NumberOfAssets))))</f>
        <v>0</v>
      </c>
      <c r="H121" s="279">
        <f>MMULT(INDEX(ReportAssetWeightsAdverse,ROW()-ROW(H$120),1):INDEX(ReportAssetWeightsAdverse,ROW()-ROW(H$120),NumberOfAssets),INT(INDEX(tblAssetMenuSpecs[IsRealEstate],1):(INDEX(tblAssetMenuSpecs[IsRealEstate],NumberOfAssets))))</f>
        <v>0</v>
      </c>
      <c r="I121" s="279">
        <f>MMULT(INDEX(ReportAssetWeightsAdverse,ROW()-ROW(I$120),1):INDEX(ReportAssetWeightsAdverse,ROW()-ROW(I$120),NumberOfAssets),INT(INDEX(tblAssetMenuSpecs[IsAlternatives],1):(INDEX(tblAssetMenuSpecs[IsAlternatives],NumberOfAssets))))</f>
        <v>0</v>
      </c>
      <c r="J121" s="279">
        <f>MMULT(INDEX(ReportAssetWeightsAdverse,ROW()-ROW(J$120),1):INDEX(ReportAssetWeightsAdverse,ROW()-ROW(J$120),NumberOfAssets),INT(INDEX(tblAssetMenuSpecs[IsFixedIncome],1):(INDEX(tblAssetMenuSpecs[IsFixedIncome],NumberOfAssets))))</f>
        <v>1</v>
      </c>
      <c r="L121" s="280">
        <f>MMULT(INDEX(ReportAssetWeightsAdverse,ROW()-ROW(L$120),1):INDEX(ReportAssetWeightsAdverse,ROW()-ROW(L$120),NumberOfAssets),INT(INDEX(tblAssetMenuSpecs[Is Equities EU],1):(INDEX(tblAssetMenuSpecs[Is Equities EU],NumberOfAssets))))</f>
        <v>0</v>
      </c>
      <c r="M121" s="280">
        <f>MMULT(INDEX(ReportAssetWeightsAdverse,ROW()-ROW(M$120),1):INDEX(ReportAssetWeightsAdverse,ROW()-ROW(M$120),NumberOfAssets),INT(INDEX(tblAssetMenuSpecs[Is Equities US],1):(INDEX(tblAssetMenuSpecs[Is Equities US],NumberOfAssets))))</f>
        <v>0</v>
      </c>
      <c r="N121" s="280">
        <f>MMULT(INDEX(ReportAssetWeightsAdverse,ROW()-ROW(N$120),1):INDEX(ReportAssetWeightsAdverse,ROW()-ROW(N$120),NumberOfAssets),INT(INDEX(tblAssetMenuSpecs[Is Equities Other Developed Markets],1):(INDEX(tblAssetMenuSpecs[Is Equities Other Developed Markets],NumberOfAssets))))</f>
        <v>0</v>
      </c>
      <c r="O121" s="280">
        <f>MMULT(INDEX(ReportAssetWeightsAdverse,ROW()-ROW(O$120),1):INDEX(ReportAssetWeightsAdverse,ROW()-ROW(O$120),NumberOfAssets),INT(INDEX(tblAssetMenuSpecs[Is Equities Emerging Markets],1):(INDEX(tblAssetMenuSpecs[Is Equities Emerging Markets],NumberOfAssets))))</f>
        <v>0</v>
      </c>
      <c r="P121" s="280">
        <f>MMULT(INDEX(ReportAssetWeightsAdverse,ROW()-ROW(P$120),1):INDEX(ReportAssetWeightsAdverse,ROW()-ROW(P$120),NumberOfAssets),INT(INDEX(tblAssetMenuSpecs[Is Commodities],1):(INDEX(tblAssetMenuSpecs[Is Commodities],NumberOfAssets))))</f>
        <v>0</v>
      </c>
      <c r="Q121" s="280">
        <f>MMULT(INDEX(ReportAssetWeightsAdverse,ROW()-ROW(Q$120),1):INDEX(ReportAssetWeightsAdverse,ROW()-ROW(Q$120),NumberOfAssets),INT(INDEX(tblAssetMenuSpecs[Is Private Equity],1):(INDEX(tblAssetMenuSpecs[Is Private Equity],NumberOfAssets))))</f>
        <v>0</v>
      </c>
      <c r="R121" s="280">
        <f>MMULT(INDEX(ReportAssetWeightsAdverse,ROW()-ROW(R$120),1):INDEX(ReportAssetWeightsAdverse,ROW()-ROW(R$120),NumberOfAssets),INT(INDEX(tblAssetMenuSpecs[Is Hedge Funds],1):(INDEX(tblAssetMenuSpecs[Is Hedge Funds],NumberOfAssets))))</f>
        <v>0</v>
      </c>
      <c r="S121" s="280">
        <f>MMULT(INDEX(ReportAssetWeightsAdverse,ROW()-ROW(S$120),1):INDEX(ReportAssetWeightsAdverse,ROW()-ROW(S$120),NumberOfAssets),INT(INDEX(tblAssetMenuSpecs[Is Real Estate EU],1):(INDEX(tblAssetMenuSpecs[Is Real Estate EU],NumberOfAssets))))</f>
        <v>0</v>
      </c>
      <c r="T121" s="280">
        <f>MMULT(INDEX(ReportAssetWeightsAdverse,ROW()-ROW(T$120),1):INDEX(ReportAssetWeightsAdverse,ROW()-ROW(T$120),NumberOfAssets),INT(INDEX(tblAssetMenuSpecs[Is Real Estate US],1):(INDEX(tblAssetMenuSpecs[Is Real Estate US],NumberOfAssets))))</f>
        <v>0</v>
      </c>
      <c r="U121" s="280">
        <f>MMULT(INDEX(ReportAssetWeightsAdverse,ROW()-ROW(U$120),1):INDEX(ReportAssetWeightsAdverse,ROW()-ROW(U$120),NumberOfAssets),INT(INDEX(tblAssetMenuSpecs[Is Real Estate Other Developed Markets],1):(INDEX(tblAssetMenuSpecs[Is Real Estate Other Developed Markets],NumberOfAssets))))</f>
        <v>0</v>
      </c>
      <c r="V121" s="280">
        <f>MMULT(INDEX(ReportAssetWeightsAdverse,ROW()-ROW(V$120),1):INDEX(ReportAssetWeightsAdverse,ROW()-ROW(V$120),NumberOfAssets),INT(INDEX(tblAssetMenuSpecs[Is Real Estate Commercial EU (non-leveraged)],1):(INDEX(tblAssetMenuSpecs[Is Real Estate Commercial EU (non-leveraged)],NumberOfAssets))))</f>
        <v>0</v>
      </c>
      <c r="W121" s="280">
        <f>MMULT(INDEX(ReportAssetWeightsAdverse,ROW()-ROW(W$120),1):INDEX(ReportAssetWeightsAdverse,ROW()-ROW(W$120),NumberOfAssets),INT(INDEX(tblAssetMenuSpecs[Is Real Estate Residential EU (non-leveraged)],1):(INDEX(tblAssetMenuSpecs[Is Real Estate Residential EU (non-leveraged)],NumberOfAssets))))</f>
        <v>0</v>
      </c>
      <c r="X121" s="280">
        <f>MMULT(INDEX(ReportAssetWeightsAdverse,ROW()-ROW(X$120),1):INDEX(ReportAssetWeightsAdverse,ROW()-ROW(X$120),NumberOfAssets),INT(INDEX(tblAssetMenuSpecs[Is Government Bond EU],1):(INDEX(tblAssetMenuSpecs[Is Government Bond EU],NumberOfAssets))))</f>
        <v>0</v>
      </c>
      <c r="Y121" s="280">
        <f>MMULT(INDEX(ReportAssetWeightsAdverse,ROW()-ROW(Y$120),1):INDEX(ReportAssetWeightsAdverse,ROW()-ROW(Y$120),NumberOfAssets),INT(INDEX(tblAssetMenuSpecs[Is Government Bond US],1):(INDEX(tblAssetMenuSpecs[Is Government Bond US],NumberOfAssets))))</f>
        <v>0</v>
      </c>
      <c r="Z121" s="280">
        <f>MMULT(INDEX(ReportAssetWeightsAdverse,ROW()-ROW(Z$120),1):INDEX(ReportAssetWeightsAdverse,ROW()-ROW(Z$120),NumberOfAssets),INT(INDEX(tblAssetMenuSpecs[Is Government Bond Other Developed Markets],1):(INDEX(tblAssetMenuSpecs[Is Government Bond Other Developed Markets],NumberOfAssets))))</f>
        <v>0</v>
      </c>
      <c r="AA121" s="280">
        <f>MMULT(INDEX(ReportAssetWeightsAdverse,ROW()-ROW(AA$120),1):INDEX(ReportAssetWeightsAdverse,ROW()-ROW(AA$120),NumberOfAssets),INT(INDEX(tblAssetMenuSpecs[Is Government Bond Emerging Markets],1):(INDEX(tblAssetMenuSpecs[Is Government Bond Emerging Markets],NumberOfAssets))))</f>
        <v>0</v>
      </c>
      <c r="AB121" s="280">
        <f>MMULT(INDEX(ReportAssetWeightsAdverse,ROW()-ROW(AB$120),1):INDEX(ReportAssetWeightsAdverse,ROW()-ROW(AB$120),NumberOfAssets),INT(INDEX(tblAssetMenuSpecs[Is Corporate Bond],1):(INDEX(tblAssetMenuSpecs[Is Corporate Bond],NumberOfAssets))))</f>
        <v>0</v>
      </c>
      <c r="AC121" s="280">
        <f>MMULT(INDEX(ReportAssetWeightsAdverse,ROW()-ROW(AC$120),1):INDEX(ReportAssetWeightsAdverse,ROW()-ROW(AC$120),NumberOfAssets),INT(INDEX(tblAssetMenuSpecs[Is Corporate Bond Non-Financial],1):(INDEX(tblAssetMenuSpecs[Is Corporate Bond Non-Financial],NumberOfAssets))))</f>
        <v>0</v>
      </c>
      <c r="AD121" s="280">
        <f>MMULT(INDEX(ReportAssetWeightsAdverse,ROW()-ROW(AD$120),1):INDEX(ReportAssetWeightsAdverse,ROW()-ROW(AD$120),NumberOfAssets),INT(INDEX(tblAssetMenuSpecs[Is Corporate Bond Financial],1):(INDEX(tblAssetMenuSpecs[Is Corporate Bond Financial],NumberOfAssets))))</f>
        <v>0</v>
      </c>
      <c r="AE121" s="280">
        <f>MMULT(INDEX(ReportAssetWeightsAdverse,ROW()-ROW(AE$120),1):INDEX(ReportAssetWeightsAdverse,ROW()-ROW(AE$120),NumberOfAssets),INT(INDEX(tblAssetMenuSpecs[Is Cash and Deposits],1):(INDEX(tblAssetMenuSpecs[Is Cash and Deposits],NumberOfAssets))))</f>
        <v>1</v>
      </c>
    </row>
    <row r="122" spans="6:31" x14ac:dyDescent="0.25">
      <c r="F122" s="278">
        <f t="shared" si="1"/>
        <v>19</v>
      </c>
      <c r="G122" s="279">
        <f>MMULT(INDEX(ReportAssetWeightsAdverse,ROW()-ROW(G$120),1):INDEX(ReportAssetWeightsAdverse,ROW()-ROW(G$120),NumberOfAssets),INT(INDEX(tblAssetMenuSpecs[IsEquities],1):(INDEX(tblAssetMenuSpecs[IsEquities],NumberOfAssets))))</f>
        <v>0</v>
      </c>
      <c r="H122" s="279">
        <f>MMULT(INDEX(ReportAssetWeightsAdverse,ROW()-ROW(H$120),1):INDEX(ReportAssetWeightsAdverse,ROW()-ROW(H$120),NumberOfAssets),INT(INDEX(tblAssetMenuSpecs[IsRealEstate],1):(INDEX(tblAssetMenuSpecs[IsRealEstate],NumberOfAssets))))</f>
        <v>0</v>
      </c>
      <c r="I122" s="279">
        <f>MMULT(INDEX(ReportAssetWeightsAdverse,ROW()-ROW(I$120),1):INDEX(ReportAssetWeightsAdverse,ROW()-ROW(I$120),NumberOfAssets),INT(INDEX(tblAssetMenuSpecs[IsAlternatives],1):(INDEX(tblAssetMenuSpecs[IsAlternatives],NumberOfAssets))))</f>
        <v>0</v>
      </c>
      <c r="J122" s="279">
        <f>MMULT(INDEX(ReportAssetWeightsAdverse,ROW()-ROW(J$120),1):INDEX(ReportAssetWeightsAdverse,ROW()-ROW(J$120),NumberOfAssets),INT(INDEX(tblAssetMenuSpecs[IsFixedIncome],1):(INDEX(tblAssetMenuSpecs[IsFixedIncome],NumberOfAssets))))</f>
        <v>1</v>
      </c>
      <c r="L122" s="280">
        <f>MMULT(INDEX(ReportAssetWeightsAdverse,ROW()-ROW(L$120),1):INDEX(ReportAssetWeightsAdverse,ROW()-ROW(L$120),NumberOfAssets),INT(INDEX(tblAssetMenuSpecs[Is Equities EU],1):(INDEX(tblAssetMenuSpecs[Is Equities EU],NumberOfAssets))))</f>
        <v>0</v>
      </c>
      <c r="M122" s="280">
        <f>MMULT(INDEX(ReportAssetWeightsAdverse,ROW()-ROW(M$120),1):INDEX(ReportAssetWeightsAdverse,ROW()-ROW(M$120),NumberOfAssets),INT(INDEX(tblAssetMenuSpecs[Is Equities US],1):(INDEX(tblAssetMenuSpecs[Is Equities US],NumberOfAssets))))</f>
        <v>0</v>
      </c>
      <c r="N122" s="280">
        <f>MMULT(INDEX(ReportAssetWeightsAdverse,ROW()-ROW(N$120),1):INDEX(ReportAssetWeightsAdverse,ROW()-ROW(N$120),NumberOfAssets),INT(INDEX(tblAssetMenuSpecs[Is Equities Other Developed Markets],1):(INDEX(tblAssetMenuSpecs[Is Equities Other Developed Markets],NumberOfAssets))))</f>
        <v>0</v>
      </c>
      <c r="O122" s="280">
        <f>MMULT(INDEX(ReportAssetWeightsAdverse,ROW()-ROW(O$120),1):INDEX(ReportAssetWeightsAdverse,ROW()-ROW(O$120),NumberOfAssets),INT(INDEX(tblAssetMenuSpecs[Is Equities Emerging Markets],1):(INDEX(tblAssetMenuSpecs[Is Equities Emerging Markets],NumberOfAssets))))</f>
        <v>0</v>
      </c>
      <c r="P122" s="280">
        <f>MMULT(INDEX(ReportAssetWeightsAdverse,ROW()-ROW(P$120),1):INDEX(ReportAssetWeightsAdverse,ROW()-ROW(P$120),NumberOfAssets),INT(INDEX(tblAssetMenuSpecs[Is Commodities],1):(INDEX(tblAssetMenuSpecs[Is Commodities],NumberOfAssets))))</f>
        <v>0</v>
      </c>
      <c r="Q122" s="280">
        <f>MMULT(INDEX(ReportAssetWeightsAdverse,ROW()-ROW(Q$120),1):INDEX(ReportAssetWeightsAdverse,ROW()-ROW(Q$120),NumberOfAssets),INT(INDEX(tblAssetMenuSpecs[Is Private Equity],1):(INDEX(tblAssetMenuSpecs[Is Private Equity],NumberOfAssets))))</f>
        <v>0</v>
      </c>
      <c r="R122" s="280">
        <f>MMULT(INDEX(ReportAssetWeightsAdverse,ROW()-ROW(R$120),1):INDEX(ReportAssetWeightsAdverse,ROW()-ROW(R$120),NumberOfAssets),INT(INDEX(tblAssetMenuSpecs[Is Hedge Funds],1):(INDEX(tblAssetMenuSpecs[Is Hedge Funds],NumberOfAssets))))</f>
        <v>0</v>
      </c>
      <c r="S122" s="280">
        <f>MMULT(INDEX(ReportAssetWeightsAdverse,ROW()-ROW(S$120),1):INDEX(ReportAssetWeightsAdverse,ROW()-ROW(S$120),NumberOfAssets),INT(INDEX(tblAssetMenuSpecs[Is Real Estate EU],1):(INDEX(tblAssetMenuSpecs[Is Real Estate EU],NumberOfAssets))))</f>
        <v>0</v>
      </c>
      <c r="T122" s="280">
        <f>MMULT(INDEX(ReportAssetWeightsAdverse,ROW()-ROW(T$120),1):INDEX(ReportAssetWeightsAdverse,ROW()-ROW(T$120),NumberOfAssets),INT(INDEX(tblAssetMenuSpecs[Is Real Estate US],1):(INDEX(tblAssetMenuSpecs[Is Real Estate US],NumberOfAssets))))</f>
        <v>0</v>
      </c>
      <c r="U122" s="280">
        <f>MMULT(INDEX(ReportAssetWeightsAdverse,ROW()-ROW(U$120),1):INDEX(ReportAssetWeightsAdverse,ROW()-ROW(U$120),NumberOfAssets),INT(INDEX(tblAssetMenuSpecs[Is Real Estate Other Developed Markets],1):(INDEX(tblAssetMenuSpecs[Is Real Estate Other Developed Markets],NumberOfAssets))))</f>
        <v>0</v>
      </c>
      <c r="V122" s="280">
        <f>MMULT(INDEX(ReportAssetWeightsAdverse,ROW()-ROW(V$120),1):INDEX(ReportAssetWeightsAdverse,ROW()-ROW(V$120),NumberOfAssets),INT(INDEX(tblAssetMenuSpecs[Is Real Estate Commercial EU (non-leveraged)],1):(INDEX(tblAssetMenuSpecs[Is Real Estate Commercial EU (non-leveraged)],NumberOfAssets))))</f>
        <v>0</v>
      </c>
      <c r="W122" s="280">
        <f>MMULT(INDEX(ReportAssetWeightsAdverse,ROW()-ROW(W$120),1):INDEX(ReportAssetWeightsAdverse,ROW()-ROW(W$120),NumberOfAssets),INT(INDEX(tblAssetMenuSpecs[Is Real Estate Residential EU (non-leveraged)],1):(INDEX(tblAssetMenuSpecs[Is Real Estate Residential EU (non-leveraged)],NumberOfAssets))))</f>
        <v>0</v>
      </c>
      <c r="X122" s="280">
        <f>MMULT(INDEX(ReportAssetWeightsAdverse,ROW()-ROW(X$120),1):INDEX(ReportAssetWeightsAdverse,ROW()-ROW(X$120),NumberOfAssets),INT(INDEX(tblAssetMenuSpecs[Is Government Bond EU],1):(INDEX(tblAssetMenuSpecs[Is Government Bond EU],NumberOfAssets))))</f>
        <v>0</v>
      </c>
      <c r="Y122" s="280">
        <f>MMULT(INDEX(ReportAssetWeightsAdverse,ROW()-ROW(Y$120),1):INDEX(ReportAssetWeightsAdverse,ROW()-ROW(Y$120),NumberOfAssets),INT(INDEX(tblAssetMenuSpecs[Is Government Bond US],1):(INDEX(tblAssetMenuSpecs[Is Government Bond US],NumberOfAssets))))</f>
        <v>0</v>
      </c>
      <c r="Z122" s="280">
        <f>MMULT(INDEX(ReportAssetWeightsAdverse,ROW()-ROW(Z$120),1):INDEX(ReportAssetWeightsAdverse,ROW()-ROW(Z$120),NumberOfAssets),INT(INDEX(tblAssetMenuSpecs[Is Government Bond Other Developed Markets],1):(INDEX(tblAssetMenuSpecs[Is Government Bond Other Developed Markets],NumberOfAssets))))</f>
        <v>0</v>
      </c>
      <c r="AA122" s="280">
        <f>MMULT(INDEX(ReportAssetWeightsAdverse,ROW()-ROW(AA$120),1):INDEX(ReportAssetWeightsAdverse,ROW()-ROW(AA$120),NumberOfAssets),INT(INDEX(tblAssetMenuSpecs[Is Government Bond Emerging Markets],1):(INDEX(tblAssetMenuSpecs[Is Government Bond Emerging Markets],NumberOfAssets))))</f>
        <v>0</v>
      </c>
      <c r="AB122" s="280">
        <f>MMULT(INDEX(ReportAssetWeightsAdverse,ROW()-ROW(AB$120),1):INDEX(ReportAssetWeightsAdverse,ROW()-ROW(AB$120),NumberOfAssets),INT(INDEX(tblAssetMenuSpecs[Is Corporate Bond],1):(INDEX(tblAssetMenuSpecs[Is Corporate Bond],NumberOfAssets))))</f>
        <v>0</v>
      </c>
      <c r="AC122" s="280">
        <f>MMULT(INDEX(ReportAssetWeightsAdverse,ROW()-ROW(AC$120),1):INDEX(ReportAssetWeightsAdverse,ROW()-ROW(AC$120),NumberOfAssets),INT(INDEX(tblAssetMenuSpecs[Is Corporate Bond Non-Financial],1):(INDEX(tblAssetMenuSpecs[Is Corporate Bond Non-Financial],NumberOfAssets))))</f>
        <v>0</v>
      </c>
      <c r="AD122" s="280">
        <f>MMULT(INDEX(ReportAssetWeightsAdverse,ROW()-ROW(AD$120),1):INDEX(ReportAssetWeightsAdverse,ROW()-ROW(AD$120),NumberOfAssets),INT(INDEX(tblAssetMenuSpecs[Is Corporate Bond Financial],1):(INDEX(tblAssetMenuSpecs[Is Corporate Bond Financial],NumberOfAssets))))</f>
        <v>0</v>
      </c>
      <c r="AE122" s="280">
        <f>MMULT(INDEX(ReportAssetWeightsAdverse,ROW()-ROW(AE$120),1):INDEX(ReportAssetWeightsAdverse,ROW()-ROW(AE$120),NumberOfAssets),INT(INDEX(tblAssetMenuSpecs[Is Cash and Deposits],1):(INDEX(tblAssetMenuSpecs[Is Cash and Deposits],NumberOfAssets))))</f>
        <v>1</v>
      </c>
    </row>
    <row r="123" spans="6:31" x14ac:dyDescent="0.25">
      <c r="F123" s="278">
        <f t="shared" si="1"/>
        <v>18</v>
      </c>
      <c r="G123" s="279">
        <f>MMULT(INDEX(ReportAssetWeightsAdverse,ROW()-ROW(G$120),1):INDEX(ReportAssetWeightsAdverse,ROW()-ROW(G$120),NumberOfAssets),INT(INDEX(tblAssetMenuSpecs[IsEquities],1):(INDEX(tblAssetMenuSpecs[IsEquities],NumberOfAssets))))</f>
        <v>0</v>
      </c>
      <c r="H123" s="279">
        <f>MMULT(INDEX(ReportAssetWeightsAdverse,ROW()-ROW(H$120),1):INDEX(ReportAssetWeightsAdverse,ROW()-ROW(H$120),NumberOfAssets),INT(INDEX(tblAssetMenuSpecs[IsRealEstate],1):(INDEX(tblAssetMenuSpecs[IsRealEstate],NumberOfAssets))))</f>
        <v>0</v>
      </c>
      <c r="I123" s="279">
        <f>MMULT(INDEX(ReportAssetWeightsAdverse,ROW()-ROW(I$120),1):INDEX(ReportAssetWeightsAdverse,ROW()-ROW(I$120),NumberOfAssets),INT(INDEX(tblAssetMenuSpecs[IsAlternatives],1):(INDEX(tblAssetMenuSpecs[IsAlternatives],NumberOfAssets))))</f>
        <v>0</v>
      </c>
      <c r="J123" s="279">
        <f>MMULT(INDEX(ReportAssetWeightsAdverse,ROW()-ROW(J$120),1):INDEX(ReportAssetWeightsAdverse,ROW()-ROW(J$120),NumberOfAssets),INT(INDEX(tblAssetMenuSpecs[IsFixedIncome],1):(INDEX(tblAssetMenuSpecs[IsFixedIncome],NumberOfAssets))))</f>
        <v>1</v>
      </c>
      <c r="L123" s="280">
        <f>MMULT(INDEX(ReportAssetWeightsAdverse,ROW()-ROW(L$120),1):INDEX(ReportAssetWeightsAdverse,ROW()-ROW(L$120),NumberOfAssets),INT(INDEX(tblAssetMenuSpecs[Is Equities EU],1):(INDEX(tblAssetMenuSpecs[Is Equities EU],NumberOfAssets))))</f>
        <v>0</v>
      </c>
      <c r="M123" s="280">
        <f>MMULT(INDEX(ReportAssetWeightsAdverse,ROW()-ROW(M$120),1):INDEX(ReportAssetWeightsAdverse,ROW()-ROW(M$120),NumberOfAssets),INT(INDEX(tblAssetMenuSpecs[Is Equities US],1):(INDEX(tblAssetMenuSpecs[Is Equities US],NumberOfAssets))))</f>
        <v>0</v>
      </c>
      <c r="N123" s="280">
        <f>MMULT(INDEX(ReportAssetWeightsAdverse,ROW()-ROW(N$120),1):INDEX(ReportAssetWeightsAdverse,ROW()-ROW(N$120),NumberOfAssets),INT(INDEX(tblAssetMenuSpecs[Is Equities Other Developed Markets],1):(INDEX(tblAssetMenuSpecs[Is Equities Other Developed Markets],NumberOfAssets))))</f>
        <v>0</v>
      </c>
      <c r="O123" s="280">
        <f>MMULT(INDEX(ReportAssetWeightsAdverse,ROW()-ROW(O$120),1):INDEX(ReportAssetWeightsAdverse,ROW()-ROW(O$120),NumberOfAssets),INT(INDEX(tblAssetMenuSpecs[Is Equities Emerging Markets],1):(INDEX(tblAssetMenuSpecs[Is Equities Emerging Markets],NumberOfAssets))))</f>
        <v>0</v>
      </c>
      <c r="P123" s="280">
        <f>MMULT(INDEX(ReportAssetWeightsAdverse,ROW()-ROW(P$120),1):INDEX(ReportAssetWeightsAdverse,ROW()-ROW(P$120),NumberOfAssets),INT(INDEX(tblAssetMenuSpecs[Is Commodities],1):(INDEX(tblAssetMenuSpecs[Is Commodities],NumberOfAssets))))</f>
        <v>0</v>
      </c>
      <c r="Q123" s="280">
        <f>MMULT(INDEX(ReportAssetWeightsAdverse,ROW()-ROW(Q$120),1):INDEX(ReportAssetWeightsAdverse,ROW()-ROW(Q$120),NumberOfAssets),INT(INDEX(tblAssetMenuSpecs[Is Private Equity],1):(INDEX(tblAssetMenuSpecs[Is Private Equity],NumberOfAssets))))</f>
        <v>0</v>
      </c>
      <c r="R123" s="280">
        <f>MMULT(INDEX(ReportAssetWeightsAdverse,ROW()-ROW(R$120),1):INDEX(ReportAssetWeightsAdverse,ROW()-ROW(R$120),NumberOfAssets),INT(INDEX(tblAssetMenuSpecs[Is Hedge Funds],1):(INDEX(tblAssetMenuSpecs[Is Hedge Funds],NumberOfAssets))))</f>
        <v>0</v>
      </c>
      <c r="S123" s="280">
        <f>MMULT(INDEX(ReportAssetWeightsAdverse,ROW()-ROW(S$120),1):INDEX(ReportAssetWeightsAdverse,ROW()-ROW(S$120),NumberOfAssets),INT(INDEX(tblAssetMenuSpecs[Is Real Estate EU],1):(INDEX(tblAssetMenuSpecs[Is Real Estate EU],NumberOfAssets))))</f>
        <v>0</v>
      </c>
      <c r="T123" s="280">
        <f>MMULT(INDEX(ReportAssetWeightsAdverse,ROW()-ROW(T$120),1):INDEX(ReportAssetWeightsAdverse,ROW()-ROW(T$120),NumberOfAssets),INT(INDEX(tblAssetMenuSpecs[Is Real Estate US],1):(INDEX(tblAssetMenuSpecs[Is Real Estate US],NumberOfAssets))))</f>
        <v>0</v>
      </c>
      <c r="U123" s="280">
        <f>MMULT(INDEX(ReportAssetWeightsAdverse,ROW()-ROW(U$120),1):INDEX(ReportAssetWeightsAdverse,ROW()-ROW(U$120),NumberOfAssets),INT(INDEX(tblAssetMenuSpecs[Is Real Estate Other Developed Markets],1):(INDEX(tblAssetMenuSpecs[Is Real Estate Other Developed Markets],NumberOfAssets))))</f>
        <v>0</v>
      </c>
      <c r="V123" s="280">
        <f>MMULT(INDEX(ReportAssetWeightsAdverse,ROW()-ROW(V$120),1):INDEX(ReportAssetWeightsAdverse,ROW()-ROW(V$120),NumberOfAssets),INT(INDEX(tblAssetMenuSpecs[Is Real Estate Commercial EU (non-leveraged)],1):(INDEX(tblAssetMenuSpecs[Is Real Estate Commercial EU (non-leveraged)],NumberOfAssets))))</f>
        <v>0</v>
      </c>
      <c r="W123" s="280">
        <f>MMULT(INDEX(ReportAssetWeightsAdverse,ROW()-ROW(W$120),1):INDEX(ReportAssetWeightsAdverse,ROW()-ROW(W$120),NumberOfAssets),INT(INDEX(tblAssetMenuSpecs[Is Real Estate Residential EU (non-leveraged)],1):(INDEX(tblAssetMenuSpecs[Is Real Estate Residential EU (non-leveraged)],NumberOfAssets))))</f>
        <v>0</v>
      </c>
      <c r="X123" s="280">
        <f>MMULT(INDEX(ReportAssetWeightsAdverse,ROW()-ROW(X$120),1):INDEX(ReportAssetWeightsAdverse,ROW()-ROW(X$120),NumberOfAssets),INT(INDEX(tblAssetMenuSpecs[Is Government Bond EU],1):(INDEX(tblAssetMenuSpecs[Is Government Bond EU],NumberOfAssets))))</f>
        <v>0</v>
      </c>
      <c r="Y123" s="280">
        <f>MMULT(INDEX(ReportAssetWeightsAdverse,ROW()-ROW(Y$120),1):INDEX(ReportAssetWeightsAdverse,ROW()-ROW(Y$120),NumberOfAssets),INT(INDEX(tblAssetMenuSpecs[Is Government Bond US],1):(INDEX(tblAssetMenuSpecs[Is Government Bond US],NumberOfAssets))))</f>
        <v>0</v>
      </c>
      <c r="Z123" s="280">
        <f>MMULT(INDEX(ReportAssetWeightsAdverse,ROW()-ROW(Z$120),1):INDEX(ReportAssetWeightsAdverse,ROW()-ROW(Z$120),NumberOfAssets),INT(INDEX(tblAssetMenuSpecs[Is Government Bond Other Developed Markets],1):(INDEX(tblAssetMenuSpecs[Is Government Bond Other Developed Markets],NumberOfAssets))))</f>
        <v>0</v>
      </c>
      <c r="AA123" s="280">
        <f>MMULT(INDEX(ReportAssetWeightsAdverse,ROW()-ROW(AA$120),1):INDEX(ReportAssetWeightsAdverse,ROW()-ROW(AA$120),NumberOfAssets),INT(INDEX(tblAssetMenuSpecs[Is Government Bond Emerging Markets],1):(INDEX(tblAssetMenuSpecs[Is Government Bond Emerging Markets],NumberOfAssets))))</f>
        <v>0</v>
      </c>
      <c r="AB123" s="280">
        <f>MMULT(INDEX(ReportAssetWeightsAdverse,ROW()-ROW(AB$120),1):INDEX(ReportAssetWeightsAdverse,ROW()-ROW(AB$120),NumberOfAssets),INT(INDEX(tblAssetMenuSpecs[Is Corporate Bond],1):(INDEX(tblAssetMenuSpecs[Is Corporate Bond],NumberOfAssets))))</f>
        <v>0</v>
      </c>
      <c r="AC123" s="280">
        <f>MMULT(INDEX(ReportAssetWeightsAdverse,ROW()-ROW(AC$120),1):INDEX(ReportAssetWeightsAdverse,ROW()-ROW(AC$120),NumberOfAssets),INT(INDEX(tblAssetMenuSpecs[Is Corporate Bond Non-Financial],1):(INDEX(tblAssetMenuSpecs[Is Corporate Bond Non-Financial],NumberOfAssets))))</f>
        <v>0</v>
      </c>
      <c r="AD123" s="280">
        <f>MMULT(INDEX(ReportAssetWeightsAdverse,ROW()-ROW(AD$120),1):INDEX(ReportAssetWeightsAdverse,ROW()-ROW(AD$120),NumberOfAssets),INT(INDEX(tblAssetMenuSpecs[Is Corporate Bond Financial],1):(INDEX(tblAssetMenuSpecs[Is Corporate Bond Financial],NumberOfAssets))))</f>
        <v>0</v>
      </c>
      <c r="AE123" s="280">
        <f>MMULT(INDEX(ReportAssetWeightsAdverse,ROW()-ROW(AE$120),1):INDEX(ReportAssetWeightsAdverse,ROW()-ROW(AE$120),NumberOfAssets),INT(INDEX(tblAssetMenuSpecs[Is Cash and Deposits],1):(INDEX(tblAssetMenuSpecs[Is Cash and Deposits],NumberOfAssets))))</f>
        <v>1</v>
      </c>
    </row>
    <row r="124" spans="6:31" x14ac:dyDescent="0.25">
      <c r="F124" s="278">
        <f t="shared" si="1"/>
        <v>17</v>
      </c>
      <c r="G124" s="279">
        <f>MMULT(INDEX(ReportAssetWeightsAdverse,ROW()-ROW(G$120),1):INDEX(ReportAssetWeightsAdverse,ROW()-ROW(G$120),NumberOfAssets),INT(INDEX(tblAssetMenuSpecs[IsEquities],1):(INDEX(tblAssetMenuSpecs[IsEquities],NumberOfAssets))))</f>
        <v>0</v>
      </c>
      <c r="H124" s="279">
        <f>MMULT(INDEX(ReportAssetWeightsAdverse,ROW()-ROW(H$120),1):INDEX(ReportAssetWeightsAdverse,ROW()-ROW(H$120),NumberOfAssets),INT(INDEX(tblAssetMenuSpecs[IsRealEstate],1):(INDEX(tblAssetMenuSpecs[IsRealEstate],NumberOfAssets))))</f>
        <v>0</v>
      </c>
      <c r="I124" s="279">
        <f>MMULT(INDEX(ReportAssetWeightsAdverse,ROW()-ROW(I$120),1):INDEX(ReportAssetWeightsAdverse,ROW()-ROW(I$120),NumberOfAssets),INT(INDEX(tblAssetMenuSpecs[IsAlternatives],1):(INDEX(tblAssetMenuSpecs[IsAlternatives],NumberOfAssets))))</f>
        <v>0</v>
      </c>
      <c r="J124" s="279">
        <f>MMULT(INDEX(ReportAssetWeightsAdverse,ROW()-ROW(J$120),1):INDEX(ReportAssetWeightsAdverse,ROW()-ROW(J$120),NumberOfAssets),INT(INDEX(tblAssetMenuSpecs[IsFixedIncome],1):(INDEX(tblAssetMenuSpecs[IsFixedIncome],NumberOfAssets))))</f>
        <v>1</v>
      </c>
      <c r="L124" s="280">
        <f>MMULT(INDEX(ReportAssetWeightsAdverse,ROW()-ROW(L$120),1):INDEX(ReportAssetWeightsAdverse,ROW()-ROW(L$120),NumberOfAssets),INT(INDEX(tblAssetMenuSpecs[Is Equities EU],1):(INDEX(tblAssetMenuSpecs[Is Equities EU],NumberOfAssets))))</f>
        <v>0</v>
      </c>
      <c r="M124" s="280">
        <f>MMULT(INDEX(ReportAssetWeightsAdverse,ROW()-ROW(M$120),1):INDEX(ReportAssetWeightsAdverse,ROW()-ROW(M$120),NumberOfAssets),INT(INDEX(tblAssetMenuSpecs[Is Equities US],1):(INDEX(tblAssetMenuSpecs[Is Equities US],NumberOfAssets))))</f>
        <v>0</v>
      </c>
      <c r="N124" s="280">
        <f>MMULT(INDEX(ReportAssetWeightsAdverse,ROW()-ROW(N$120),1):INDEX(ReportAssetWeightsAdverse,ROW()-ROW(N$120),NumberOfAssets),INT(INDEX(tblAssetMenuSpecs[Is Equities Other Developed Markets],1):(INDEX(tblAssetMenuSpecs[Is Equities Other Developed Markets],NumberOfAssets))))</f>
        <v>0</v>
      </c>
      <c r="O124" s="280">
        <f>MMULT(INDEX(ReportAssetWeightsAdverse,ROW()-ROW(O$120),1):INDEX(ReportAssetWeightsAdverse,ROW()-ROW(O$120),NumberOfAssets),INT(INDEX(tblAssetMenuSpecs[Is Equities Emerging Markets],1):(INDEX(tblAssetMenuSpecs[Is Equities Emerging Markets],NumberOfAssets))))</f>
        <v>0</v>
      </c>
      <c r="P124" s="280">
        <f>MMULT(INDEX(ReportAssetWeightsAdverse,ROW()-ROW(P$120),1):INDEX(ReportAssetWeightsAdverse,ROW()-ROW(P$120),NumberOfAssets),INT(INDEX(tblAssetMenuSpecs[Is Commodities],1):(INDEX(tblAssetMenuSpecs[Is Commodities],NumberOfAssets))))</f>
        <v>0</v>
      </c>
      <c r="Q124" s="280">
        <f>MMULT(INDEX(ReportAssetWeightsAdverse,ROW()-ROW(Q$120),1):INDEX(ReportAssetWeightsAdverse,ROW()-ROW(Q$120),NumberOfAssets),INT(INDEX(tblAssetMenuSpecs[Is Private Equity],1):(INDEX(tblAssetMenuSpecs[Is Private Equity],NumberOfAssets))))</f>
        <v>0</v>
      </c>
      <c r="R124" s="280">
        <f>MMULT(INDEX(ReportAssetWeightsAdverse,ROW()-ROW(R$120),1):INDEX(ReportAssetWeightsAdverse,ROW()-ROW(R$120),NumberOfAssets),INT(INDEX(tblAssetMenuSpecs[Is Hedge Funds],1):(INDEX(tblAssetMenuSpecs[Is Hedge Funds],NumberOfAssets))))</f>
        <v>0</v>
      </c>
      <c r="S124" s="280">
        <f>MMULT(INDEX(ReportAssetWeightsAdverse,ROW()-ROW(S$120),1):INDEX(ReportAssetWeightsAdverse,ROW()-ROW(S$120),NumberOfAssets),INT(INDEX(tblAssetMenuSpecs[Is Real Estate EU],1):(INDEX(tblAssetMenuSpecs[Is Real Estate EU],NumberOfAssets))))</f>
        <v>0</v>
      </c>
      <c r="T124" s="280">
        <f>MMULT(INDEX(ReportAssetWeightsAdverse,ROW()-ROW(T$120),1):INDEX(ReportAssetWeightsAdverse,ROW()-ROW(T$120),NumberOfAssets),INT(INDEX(tblAssetMenuSpecs[Is Real Estate US],1):(INDEX(tblAssetMenuSpecs[Is Real Estate US],NumberOfAssets))))</f>
        <v>0</v>
      </c>
      <c r="U124" s="280">
        <f>MMULT(INDEX(ReportAssetWeightsAdverse,ROW()-ROW(U$120),1):INDEX(ReportAssetWeightsAdverse,ROW()-ROW(U$120),NumberOfAssets),INT(INDEX(tblAssetMenuSpecs[Is Real Estate Other Developed Markets],1):(INDEX(tblAssetMenuSpecs[Is Real Estate Other Developed Markets],NumberOfAssets))))</f>
        <v>0</v>
      </c>
      <c r="V124" s="280">
        <f>MMULT(INDEX(ReportAssetWeightsAdverse,ROW()-ROW(V$120),1):INDEX(ReportAssetWeightsAdverse,ROW()-ROW(V$120),NumberOfAssets),INT(INDEX(tblAssetMenuSpecs[Is Real Estate Commercial EU (non-leveraged)],1):(INDEX(tblAssetMenuSpecs[Is Real Estate Commercial EU (non-leveraged)],NumberOfAssets))))</f>
        <v>0</v>
      </c>
      <c r="W124" s="280">
        <f>MMULT(INDEX(ReportAssetWeightsAdverse,ROW()-ROW(W$120),1):INDEX(ReportAssetWeightsAdverse,ROW()-ROW(W$120),NumberOfAssets),INT(INDEX(tblAssetMenuSpecs[Is Real Estate Residential EU (non-leveraged)],1):(INDEX(tblAssetMenuSpecs[Is Real Estate Residential EU (non-leveraged)],NumberOfAssets))))</f>
        <v>0</v>
      </c>
      <c r="X124" s="280">
        <f>MMULT(INDEX(ReportAssetWeightsAdverse,ROW()-ROW(X$120),1):INDEX(ReportAssetWeightsAdverse,ROW()-ROW(X$120),NumberOfAssets),INT(INDEX(tblAssetMenuSpecs[Is Government Bond EU],1):(INDEX(tblAssetMenuSpecs[Is Government Bond EU],NumberOfAssets))))</f>
        <v>0</v>
      </c>
      <c r="Y124" s="280">
        <f>MMULT(INDEX(ReportAssetWeightsAdverse,ROW()-ROW(Y$120),1):INDEX(ReportAssetWeightsAdverse,ROW()-ROW(Y$120),NumberOfAssets),INT(INDEX(tblAssetMenuSpecs[Is Government Bond US],1):(INDEX(tblAssetMenuSpecs[Is Government Bond US],NumberOfAssets))))</f>
        <v>0</v>
      </c>
      <c r="Z124" s="280">
        <f>MMULT(INDEX(ReportAssetWeightsAdverse,ROW()-ROW(Z$120),1):INDEX(ReportAssetWeightsAdverse,ROW()-ROW(Z$120),NumberOfAssets),INT(INDEX(tblAssetMenuSpecs[Is Government Bond Other Developed Markets],1):(INDEX(tblAssetMenuSpecs[Is Government Bond Other Developed Markets],NumberOfAssets))))</f>
        <v>0</v>
      </c>
      <c r="AA124" s="280">
        <f>MMULT(INDEX(ReportAssetWeightsAdverse,ROW()-ROW(AA$120),1):INDEX(ReportAssetWeightsAdverse,ROW()-ROW(AA$120),NumberOfAssets),INT(INDEX(tblAssetMenuSpecs[Is Government Bond Emerging Markets],1):(INDEX(tblAssetMenuSpecs[Is Government Bond Emerging Markets],NumberOfAssets))))</f>
        <v>0</v>
      </c>
      <c r="AB124" s="280">
        <f>MMULT(INDEX(ReportAssetWeightsAdverse,ROW()-ROW(AB$120),1):INDEX(ReportAssetWeightsAdverse,ROW()-ROW(AB$120),NumberOfAssets),INT(INDEX(tblAssetMenuSpecs[Is Corporate Bond],1):(INDEX(tblAssetMenuSpecs[Is Corporate Bond],NumberOfAssets))))</f>
        <v>0</v>
      </c>
      <c r="AC124" s="280">
        <f>MMULT(INDEX(ReportAssetWeightsAdverse,ROW()-ROW(AC$120),1):INDEX(ReportAssetWeightsAdverse,ROW()-ROW(AC$120),NumberOfAssets),INT(INDEX(tblAssetMenuSpecs[Is Corporate Bond Non-Financial],1):(INDEX(tblAssetMenuSpecs[Is Corporate Bond Non-Financial],NumberOfAssets))))</f>
        <v>0</v>
      </c>
      <c r="AD124" s="280">
        <f>MMULT(INDEX(ReportAssetWeightsAdverse,ROW()-ROW(AD$120),1):INDEX(ReportAssetWeightsAdverse,ROW()-ROW(AD$120),NumberOfAssets),INT(INDEX(tblAssetMenuSpecs[Is Corporate Bond Financial],1):(INDEX(tblAssetMenuSpecs[Is Corporate Bond Financial],NumberOfAssets))))</f>
        <v>0</v>
      </c>
      <c r="AE124" s="280">
        <f>MMULT(INDEX(ReportAssetWeightsAdverse,ROW()-ROW(AE$120),1):INDEX(ReportAssetWeightsAdverse,ROW()-ROW(AE$120),NumberOfAssets),INT(INDEX(tblAssetMenuSpecs[Is Cash and Deposits],1):(INDEX(tblAssetMenuSpecs[Is Cash and Deposits],NumberOfAssets))))</f>
        <v>1</v>
      </c>
    </row>
    <row r="125" spans="6:31" x14ac:dyDescent="0.25">
      <c r="F125" s="278">
        <f t="shared" si="1"/>
        <v>16</v>
      </c>
      <c r="G125" s="279">
        <f>MMULT(INDEX(ReportAssetWeightsAdverse,ROW()-ROW(G$120),1):INDEX(ReportAssetWeightsAdverse,ROW()-ROW(G$120),NumberOfAssets),INT(INDEX(tblAssetMenuSpecs[IsEquities],1):(INDEX(tblAssetMenuSpecs[IsEquities],NumberOfAssets))))</f>
        <v>0</v>
      </c>
      <c r="H125" s="279">
        <f>MMULT(INDEX(ReportAssetWeightsAdverse,ROW()-ROW(H$120),1):INDEX(ReportAssetWeightsAdverse,ROW()-ROW(H$120),NumberOfAssets),INT(INDEX(tblAssetMenuSpecs[IsRealEstate],1):(INDEX(tblAssetMenuSpecs[IsRealEstate],NumberOfAssets))))</f>
        <v>0</v>
      </c>
      <c r="I125" s="279">
        <f>MMULT(INDEX(ReportAssetWeightsAdverse,ROW()-ROW(I$120),1):INDEX(ReportAssetWeightsAdverse,ROW()-ROW(I$120),NumberOfAssets),INT(INDEX(tblAssetMenuSpecs[IsAlternatives],1):(INDEX(tblAssetMenuSpecs[IsAlternatives],NumberOfAssets))))</f>
        <v>0</v>
      </c>
      <c r="J125" s="279">
        <f>MMULT(INDEX(ReportAssetWeightsAdverse,ROW()-ROW(J$120),1):INDEX(ReportAssetWeightsAdverse,ROW()-ROW(J$120),NumberOfAssets),INT(INDEX(tblAssetMenuSpecs[IsFixedIncome],1):(INDEX(tblAssetMenuSpecs[IsFixedIncome],NumberOfAssets))))</f>
        <v>1</v>
      </c>
      <c r="L125" s="280">
        <f>MMULT(INDEX(ReportAssetWeightsAdverse,ROW()-ROW(L$120),1):INDEX(ReportAssetWeightsAdverse,ROW()-ROW(L$120),NumberOfAssets),INT(INDEX(tblAssetMenuSpecs[Is Equities EU],1):(INDEX(tblAssetMenuSpecs[Is Equities EU],NumberOfAssets))))</f>
        <v>0</v>
      </c>
      <c r="M125" s="280">
        <f>MMULT(INDEX(ReportAssetWeightsAdverse,ROW()-ROW(M$120),1):INDEX(ReportAssetWeightsAdverse,ROW()-ROW(M$120),NumberOfAssets),INT(INDEX(tblAssetMenuSpecs[Is Equities US],1):(INDEX(tblAssetMenuSpecs[Is Equities US],NumberOfAssets))))</f>
        <v>0</v>
      </c>
      <c r="N125" s="280">
        <f>MMULT(INDEX(ReportAssetWeightsAdverse,ROW()-ROW(N$120),1):INDEX(ReportAssetWeightsAdverse,ROW()-ROW(N$120),NumberOfAssets),INT(INDEX(tblAssetMenuSpecs[Is Equities Other Developed Markets],1):(INDEX(tblAssetMenuSpecs[Is Equities Other Developed Markets],NumberOfAssets))))</f>
        <v>0</v>
      </c>
      <c r="O125" s="280">
        <f>MMULT(INDEX(ReportAssetWeightsAdverse,ROW()-ROW(O$120),1):INDEX(ReportAssetWeightsAdverse,ROW()-ROW(O$120),NumberOfAssets),INT(INDEX(tblAssetMenuSpecs[Is Equities Emerging Markets],1):(INDEX(tblAssetMenuSpecs[Is Equities Emerging Markets],NumberOfAssets))))</f>
        <v>0</v>
      </c>
      <c r="P125" s="280">
        <f>MMULT(INDEX(ReportAssetWeightsAdverse,ROW()-ROW(P$120),1):INDEX(ReportAssetWeightsAdverse,ROW()-ROW(P$120),NumberOfAssets),INT(INDEX(tblAssetMenuSpecs[Is Commodities],1):(INDEX(tblAssetMenuSpecs[Is Commodities],NumberOfAssets))))</f>
        <v>0</v>
      </c>
      <c r="Q125" s="280">
        <f>MMULT(INDEX(ReportAssetWeightsAdverse,ROW()-ROW(Q$120),1):INDEX(ReportAssetWeightsAdverse,ROW()-ROW(Q$120),NumberOfAssets),INT(INDEX(tblAssetMenuSpecs[Is Private Equity],1):(INDEX(tblAssetMenuSpecs[Is Private Equity],NumberOfAssets))))</f>
        <v>0</v>
      </c>
      <c r="R125" s="280">
        <f>MMULT(INDEX(ReportAssetWeightsAdverse,ROW()-ROW(R$120),1):INDEX(ReportAssetWeightsAdverse,ROW()-ROW(R$120),NumberOfAssets),INT(INDEX(tblAssetMenuSpecs[Is Hedge Funds],1):(INDEX(tblAssetMenuSpecs[Is Hedge Funds],NumberOfAssets))))</f>
        <v>0</v>
      </c>
      <c r="S125" s="280">
        <f>MMULT(INDEX(ReportAssetWeightsAdverse,ROW()-ROW(S$120),1):INDEX(ReportAssetWeightsAdverse,ROW()-ROW(S$120),NumberOfAssets),INT(INDEX(tblAssetMenuSpecs[Is Real Estate EU],1):(INDEX(tblAssetMenuSpecs[Is Real Estate EU],NumberOfAssets))))</f>
        <v>0</v>
      </c>
      <c r="T125" s="280">
        <f>MMULT(INDEX(ReportAssetWeightsAdverse,ROW()-ROW(T$120),1):INDEX(ReportAssetWeightsAdverse,ROW()-ROW(T$120),NumberOfAssets),INT(INDEX(tblAssetMenuSpecs[Is Real Estate US],1):(INDEX(tblAssetMenuSpecs[Is Real Estate US],NumberOfAssets))))</f>
        <v>0</v>
      </c>
      <c r="U125" s="280">
        <f>MMULT(INDEX(ReportAssetWeightsAdverse,ROW()-ROW(U$120),1):INDEX(ReportAssetWeightsAdverse,ROW()-ROW(U$120),NumberOfAssets),INT(INDEX(tblAssetMenuSpecs[Is Real Estate Other Developed Markets],1):(INDEX(tblAssetMenuSpecs[Is Real Estate Other Developed Markets],NumberOfAssets))))</f>
        <v>0</v>
      </c>
      <c r="V125" s="280">
        <f>MMULT(INDEX(ReportAssetWeightsAdverse,ROW()-ROW(V$120),1):INDEX(ReportAssetWeightsAdverse,ROW()-ROW(V$120),NumberOfAssets),INT(INDEX(tblAssetMenuSpecs[Is Real Estate Commercial EU (non-leveraged)],1):(INDEX(tblAssetMenuSpecs[Is Real Estate Commercial EU (non-leveraged)],NumberOfAssets))))</f>
        <v>0</v>
      </c>
      <c r="W125" s="280">
        <f>MMULT(INDEX(ReportAssetWeightsAdverse,ROW()-ROW(W$120),1):INDEX(ReportAssetWeightsAdverse,ROW()-ROW(W$120),NumberOfAssets),INT(INDEX(tblAssetMenuSpecs[Is Real Estate Residential EU (non-leveraged)],1):(INDEX(tblAssetMenuSpecs[Is Real Estate Residential EU (non-leveraged)],NumberOfAssets))))</f>
        <v>0</v>
      </c>
      <c r="X125" s="280">
        <f>MMULT(INDEX(ReportAssetWeightsAdverse,ROW()-ROW(X$120),1):INDEX(ReportAssetWeightsAdverse,ROW()-ROW(X$120),NumberOfAssets),INT(INDEX(tblAssetMenuSpecs[Is Government Bond EU],1):(INDEX(tblAssetMenuSpecs[Is Government Bond EU],NumberOfAssets))))</f>
        <v>0</v>
      </c>
      <c r="Y125" s="280">
        <f>MMULT(INDEX(ReportAssetWeightsAdverse,ROW()-ROW(Y$120),1):INDEX(ReportAssetWeightsAdverse,ROW()-ROW(Y$120),NumberOfAssets),INT(INDEX(tblAssetMenuSpecs[Is Government Bond US],1):(INDEX(tblAssetMenuSpecs[Is Government Bond US],NumberOfAssets))))</f>
        <v>0</v>
      </c>
      <c r="Z125" s="280">
        <f>MMULT(INDEX(ReportAssetWeightsAdverse,ROW()-ROW(Z$120),1):INDEX(ReportAssetWeightsAdverse,ROW()-ROW(Z$120),NumberOfAssets),INT(INDEX(tblAssetMenuSpecs[Is Government Bond Other Developed Markets],1):(INDEX(tblAssetMenuSpecs[Is Government Bond Other Developed Markets],NumberOfAssets))))</f>
        <v>0</v>
      </c>
      <c r="AA125" s="280">
        <f>MMULT(INDEX(ReportAssetWeightsAdverse,ROW()-ROW(AA$120),1):INDEX(ReportAssetWeightsAdverse,ROW()-ROW(AA$120),NumberOfAssets),INT(INDEX(tblAssetMenuSpecs[Is Government Bond Emerging Markets],1):(INDEX(tblAssetMenuSpecs[Is Government Bond Emerging Markets],NumberOfAssets))))</f>
        <v>0</v>
      </c>
      <c r="AB125" s="280">
        <f>MMULT(INDEX(ReportAssetWeightsAdverse,ROW()-ROW(AB$120),1):INDEX(ReportAssetWeightsAdverse,ROW()-ROW(AB$120),NumberOfAssets),INT(INDEX(tblAssetMenuSpecs[Is Corporate Bond],1):(INDEX(tblAssetMenuSpecs[Is Corporate Bond],NumberOfAssets))))</f>
        <v>0</v>
      </c>
      <c r="AC125" s="280">
        <f>MMULT(INDEX(ReportAssetWeightsAdverse,ROW()-ROW(AC$120),1):INDEX(ReportAssetWeightsAdverse,ROW()-ROW(AC$120),NumberOfAssets),INT(INDEX(tblAssetMenuSpecs[Is Corporate Bond Non-Financial],1):(INDEX(tblAssetMenuSpecs[Is Corporate Bond Non-Financial],NumberOfAssets))))</f>
        <v>0</v>
      </c>
      <c r="AD125" s="280">
        <f>MMULT(INDEX(ReportAssetWeightsAdverse,ROW()-ROW(AD$120),1):INDEX(ReportAssetWeightsAdverse,ROW()-ROW(AD$120),NumberOfAssets),INT(INDEX(tblAssetMenuSpecs[Is Corporate Bond Financial],1):(INDEX(tblAssetMenuSpecs[Is Corporate Bond Financial],NumberOfAssets))))</f>
        <v>0</v>
      </c>
      <c r="AE125" s="280">
        <f>MMULT(INDEX(ReportAssetWeightsAdverse,ROW()-ROW(AE$120),1):INDEX(ReportAssetWeightsAdverse,ROW()-ROW(AE$120),NumberOfAssets),INT(INDEX(tblAssetMenuSpecs[Is Cash and Deposits],1):(INDEX(tblAssetMenuSpecs[Is Cash and Deposits],NumberOfAssets))))</f>
        <v>1</v>
      </c>
    </row>
    <row r="126" spans="6:31" x14ac:dyDescent="0.25">
      <c r="F126" s="278">
        <f t="shared" si="1"/>
        <v>15</v>
      </c>
      <c r="G126" s="279">
        <f>MMULT(INDEX(ReportAssetWeightsAdverse,ROW()-ROW(G$120),1):INDEX(ReportAssetWeightsAdverse,ROW()-ROW(G$120),NumberOfAssets),INT(INDEX(tblAssetMenuSpecs[IsEquities],1):(INDEX(tblAssetMenuSpecs[IsEquities],NumberOfAssets))))</f>
        <v>0</v>
      </c>
      <c r="H126" s="279">
        <f>MMULT(INDEX(ReportAssetWeightsAdverse,ROW()-ROW(H$120),1):INDEX(ReportAssetWeightsAdverse,ROW()-ROW(H$120),NumberOfAssets),INT(INDEX(tblAssetMenuSpecs[IsRealEstate],1):(INDEX(tblAssetMenuSpecs[IsRealEstate],NumberOfAssets))))</f>
        <v>0</v>
      </c>
      <c r="I126" s="279">
        <f>MMULT(INDEX(ReportAssetWeightsAdverse,ROW()-ROW(I$120),1):INDEX(ReportAssetWeightsAdverse,ROW()-ROW(I$120),NumberOfAssets),INT(INDEX(tblAssetMenuSpecs[IsAlternatives],1):(INDEX(tblAssetMenuSpecs[IsAlternatives],NumberOfAssets))))</f>
        <v>0</v>
      </c>
      <c r="J126" s="279">
        <f>MMULT(INDEX(ReportAssetWeightsAdverse,ROW()-ROW(J$120),1):INDEX(ReportAssetWeightsAdverse,ROW()-ROW(J$120),NumberOfAssets),INT(INDEX(tblAssetMenuSpecs[IsFixedIncome],1):(INDEX(tblAssetMenuSpecs[IsFixedIncome],NumberOfAssets))))</f>
        <v>1</v>
      </c>
      <c r="L126" s="280">
        <f>MMULT(INDEX(ReportAssetWeightsAdverse,ROW()-ROW(L$120),1):INDEX(ReportAssetWeightsAdverse,ROW()-ROW(L$120),NumberOfAssets),INT(INDEX(tblAssetMenuSpecs[Is Equities EU],1):(INDEX(tblAssetMenuSpecs[Is Equities EU],NumberOfAssets))))</f>
        <v>0</v>
      </c>
      <c r="M126" s="280">
        <f>MMULT(INDEX(ReportAssetWeightsAdverse,ROW()-ROW(M$120),1):INDEX(ReportAssetWeightsAdverse,ROW()-ROW(M$120),NumberOfAssets),INT(INDEX(tblAssetMenuSpecs[Is Equities US],1):(INDEX(tblAssetMenuSpecs[Is Equities US],NumberOfAssets))))</f>
        <v>0</v>
      </c>
      <c r="N126" s="280">
        <f>MMULT(INDEX(ReportAssetWeightsAdverse,ROW()-ROW(N$120),1):INDEX(ReportAssetWeightsAdverse,ROW()-ROW(N$120),NumberOfAssets),INT(INDEX(tblAssetMenuSpecs[Is Equities Other Developed Markets],1):(INDEX(tblAssetMenuSpecs[Is Equities Other Developed Markets],NumberOfAssets))))</f>
        <v>0</v>
      </c>
      <c r="O126" s="280">
        <f>MMULT(INDEX(ReportAssetWeightsAdverse,ROW()-ROW(O$120),1):INDEX(ReportAssetWeightsAdverse,ROW()-ROW(O$120),NumberOfAssets),INT(INDEX(tblAssetMenuSpecs[Is Equities Emerging Markets],1):(INDEX(tblAssetMenuSpecs[Is Equities Emerging Markets],NumberOfAssets))))</f>
        <v>0</v>
      </c>
      <c r="P126" s="280">
        <f>MMULT(INDEX(ReportAssetWeightsAdverse,ROW()-ROW(P$120),1):INDEX(ReportAssetWeightsAdverse,ROW()-ROW(P$120),NumberOfAssets),INT(INDEX(tblAssetMenuSpecs[Is Commodities],1):(INDEX(tblAssetMenuSpecs[Is Commodities],NumberOfAssets))))</f>
        <v>0</v>
      </c>
      <c r="Q126" s="280">
        <f>MMULT(INDEX(ReportAssetWeightsAdverse,ROW()-ROW(Q$120),1):INDEX(ReportAssetWeightsAdverse,ROW()-ROW(Q$120),NumberOfAssets),INT(INDEX(tblAssetMenuSpecs[Is Private Equity],1):(INDEX(tblAssetMenuSpecs[Is Private Equity],NumberOfAssets))))</f>
        <v>0</v>
      </c>
      <c r="R126" s="280">
        <f>MMULT(INDEX(ReportAssetWeightsAdverse,ROW()-ROW(R$120),1):INDEX(ReportAssetWeightsAdverse,ROW()-ROW(R$120),NumberOfAssets),INT(INDEX(tblAssetMenuSpecs[Is Hedge Funds],1):(INDEX(tblAssetMenuSpecs[Is Hedge Funds],NumberOfAssets))))</f>
        <v>0</v>
      </c>
      <c r="S126" s="280">
        <f>MMULT(INDEX(ReportAssetWeightsAdverse,ROW()-ROW(S$120),1):INDEX(ReportAssetWeightsAdverse,ROW()-ROW(S$120),NumberOfAssets),INT(INDEX(tblAssetMenuSpecs[Is Real Estate EU],1):(INDEX(tblAssetMenuSpecs[Is Real Estate EU],NumberOfAssets))))</f>
        <v>0</v>
      </c>
      <c r="T126" s="280">
        <f>MMULT(INDEX(ReportAssetWeightsAdverse,ROW()-ROW(T$120),1):INDEX(ReportAssetWeightsAdverse,ROW()-ROW(T$120),NumberOfAssets),INT(INDEX(tblAssetMenuSpecs[Is Real Estate US],1):(INDEX(tblAssetMenuSpecs[Is Real Estate US],NumberOfAssets))))</f>
        <v>0</v>
      </c>
      <c r="U126" s="280">
        <f>MMULT(INDEX(ReportAssetWeightsAdverse,ROW()-ROW(U$120),1):INDEX(ReportAssetWeightsAdverse,ROW()-ROW(U$120),NumberOfAssets),INT(INDEX(tblAssetMenuSpecs[Is Real Estate Other Developed Markets],1):(INDEX(tblAssetMenuSpecs[Is Real Estate Other Developed Markets],NumberOfAssets))))</f>
        <v>0</v>
      </c>
      <c r="V126" s="280">
        <f>MMULT(INDEX(ReportAssetWeightsAdverse,ROW()-ROW(V$120),1):INDEX(ReportAssetWeightsAdverse,ROW()-ROW(V$120),NumberOfAssets),INT(INDEX(tblAssetMenuSpecs[Is Real Estate Commercial EU (non-leveraged)],1):(INDEX(tblAssetMenuSpecs[Is Real Estate Commercial EU (non-leveraged)],NumberOfAssets))))</f>
        <v>0</v>
      </c>
      <c r="W126" s="280">
        <f>MMULT(INDEX(ReportAssetWeightsAdverse,ROW()-ROW(W$120),1):INDEX(ReportAssetWeightsAdverse,ROW()-ROW(W$120),NumberOfAssets),INT(INDEX(tblAssetMenuSpecs[Is Real Estate Residential EU (non-leveraged)],1):(INDEX(tblAssetMenuSpecs[Is Real Estate Residential EU (non-leveraged)],NumberOfAssets))))</f>
        <v>0</v>
      </c>
      <c r="X126" s="280">
        <f>MMULT(INDEX(ReportAssetWeightsAdverse,ROW()-ROW(X$120),1):INDEX(ReportAssetWeightsAdverse,ROW()-ROW(X$120),NumberOfAssets),INT(INDEX(tblAssetMenuSpecs[Is Government Bond EU],1):(INDEX(tblAssetMenuSpecs[Is Government Bond EU],NumberOfAssets))))</f>
        <v>0</v>
      </c>
      <c r="Y126" s="280">
        <f>MMULT(INDEX(ReportAssetWeightsAdverse,ROW()-ROW(Y$120),1):INDEX(ReportAssetWeightsAdverse,ROW()-ROW(Y$120),NumberOfAssets),INT(INDEX(tblAssetMenuSpecs[Is Government Bond US],1):(INDEX(tblAssetMenuSpecs[Is Government Bond US],NumberOfAssets))))</f>
        <v>0</v>
      </c>
      <c r="Z126" s="280">
        <f>MMULT(INDEX(ReportAssetWeightsAdverse,ROW()-ROW(Z$120),1):INDEX(ReportAssetWeightsAdverse,ROW()-ROW(Z$120),NumberOfAssets),INT(INDEX(tblAssetMenuSpecs[Is Government Bond Other Developed Markets],1):(INDEX(tblAssetMenuSpecs[Is Government Bond Other Developed Markets],NumberOfAssets))))</f>
        <v>0</v>
      </c>
      <c r="AA126" s="280">
        <f>MMULT(INDEX(ReportAssetWeightsAdverse,ROW()-ROW(AA$120),1):INDEX(ReportAssetWeightsAdverse,ROW()-ROW(AA$120),NumberOfAssets),INT(INDEX(tblAssetMenuSpecs[Is Government Bond Emerging Markets],1):(INDEX(tblAssetMenuSpecs[Is Government Bond Emerging Markets],NumberOfAssets))))</f>
        <v>0</v>
      </c>
      <c r="AB126" s="280">
        <f>MMULT(INDEX(ReportAssetWeightsAdverse,ROW()-ROW(AB$120),1):INDEX(ReportAssetWeightsAdverse,ROW()-ROW(AB$120),NumberOfAssets),INT(INDEX(tblAssetMenuSpecs[Is Corporate Bond],1):(INDEX(tblAssetMenuSpecs[Is Corporate Bond],NumberOfAssets))))</f>
        <v>0</v>
      </c>
      <c r="AC126" s="280">
        <f>MMULT(INDEX(ReportAssetWeightsAdverse,ROW()-ROW(AC$120),1):INDEX(ReportAssetWeightsAdverse,ROW()-ROW(AC$120),NumberOfAssets),INT(INDEX(tblAssetMenuSpecs[Is Corporate Bond Non-Financial],1):(INDEX(tblAssetMenuSpecs[Is Corporate Bond Non-Financial],NumberOfAssets))))</f>
        <v>0</v>
      </c>
      <c r="AD126" s="280">
        <f>MMULT(INDEX(ReportAssetWeightsAdverse,ROW()-ROW(AD$120),1):INDEX(ReportAssetWeightsAdverse,ROW()-ROW(AD$120),NumberOfAssets),INT(INDEX(tblAssetMenuSpecs[Is Corporate Bond Financial],1):(INDEX(tblAssetMenuSpecs[Is Corporate Bond Financial],NumberOfAssets))))</f>
        <v>0</v>
      </c>
      <c r="AE126" s="280">
        <f>MMULT(INDEX(ReportAssetWeightsAdverse,ROW()-ROW(AE$120),1):INDEX(ReportAssetWeightsAdverse,ROW()-ROW(AE$120),NumberOfAssets),INT(INDEX(tblAssetMenuSpecs[Is Cash and Deposits],1):(INDEX(tblAssetMenuSpecs[Is Cash and Deposits],NumberOfAssets))))</f>
        <v>1</v>
      </c>
    </row>
    <row r="127" spans="6:31" x14ac:dyDescent="0.25">
      <c r="F127" s="278">
        <f t="shared" si="1"/>
        <v>14</v>
      </c>
      <c r="G127" s="279">
        <f>MMULT(INDEX(ReportAssetWeightsAdverse,ROW()-ROW(G$120),1):INDEX(ReportAssetWeightsAdverse,ROW()-ROW(G$120),NumberOfAssets),INT(INDEX(tblAssetMenuSpecs[IsEquities],1):(INDEX(tblAssetMenuSpecs[IsEquities],NumberOfAssets))))</f>
        <v>0</v>
      </c>
      <c r="H127" s="279">
        <f>MMULT(INDEX(ReportAssetWeightsAdverse,ROW()-ROW(H$120),1):INDEX(ReportAssetWeightsAdverse,ROW()-ROW(H$120),NumberOfAssets),INT(INDEX(tblAssetMenuSpecs[IsRealEstate],1):(INDEX(tblAssetMenuSpecs[IsRealEstate],NumberOfAssets))))</f>
        <v>0</v>
      </c>
      <c r="I127" s="279">
        <f>MMULT(INDEX(ReportAssetWeightsAdverse,ROW()-ROW(I$120),1):INDEX(ReportAssetWeightsAdverse,ROW()-ROW(I$120),NumberOfAssets),INT(INDEX(tblAssetMenuSpecs[IsAlternatives],1):(INDEX(tblAssetMenuSpecs[IsAlternatives],NumberOfAssets))))</f>
        <v>0</v>
      </c>
      <c r="J127" s="279">
        <f>MMULT(INDEX(ReportAssetWeightsAdverse,ROW()-ROW(J$120),1):INDEX(ReportAssetWeightsAdverse,ROW()-ROW(J$120),NumberOfAssets),INT(INDEX(tblAssetMenuSpecs[IsFixedIncome],1):(INDEX(tblAssetMenuSpecs[IsFixedIncome],NumberOfAssets))))</f>
        <v>1</v>
      </c>
      <c r="L127" s="280">
        <f>MMULT(INDEX(ReportAssetWeightsAdverse,ROW()-ROW(L$120),1):INDEX(ReportAssetWeightsAdverse,ROW()-ROW(L$120),NumberOfAssets),INT(INDEX(tblAssetMenuSpecs[Is Equities EU],1):(INDEX(tblAssetMenuSpecs[Is Equities EU],NumberOfAssets))))</f>
        <v>0</v>
      </c>
      <c r="M127" s="280">
        <f>MMULT(INDEX(ReportAssetWeightsAdverse,ROW()-ROW(M$120),1):INDEX(ReportAssetWeightsAdverse,ROW()-ROW(M$120),NumberOfAssets),INT(INDEX(tblAssetMenuSpecs[Is Equities US],1):(INDEX(tblAssetMenuSpecs[Is Equities US],NumberOfAssets))))</f>
        <v>0</v>
      </c>
      <c r="N127" s="280">
        <f>MMULT(INDEX(ReportAssetWeightsAdverse,ROW()-ROW(N$120),1):INDEX(ReportAssetWeightsAdverse,ROW()-ROW(N$120),NumberOfAssets),INT(INDEX(tblAssetMenuSpecs[Is Equities Other Developed Markets],1):(INDEX(tblAssetMenuSpecs[Is Equities Other Developed Markets],NumberOfAssets))))</f>
        <v>0</v>
      </c>
      <c r="O127" s="280">
        <f>MMULT(INDEX(ReportAssetWeightsAdverse,ROW()-ROW(O$120),1):INDEX(ReportAssetWeightsAdverse,ROW()-ROW(O$120),NumberOfAssets),INT(INDEX(tblAssetMenuSpecs[Is Equities Emerging Markets],1):(INDEX(tblAssetMenuSpecs[Is Equities Emerging Markets],NumberOfAssets))))</f>
        <v>0</v>
      </c>
      <c r="P127" s="280">
        <f>MMULT(INDEX(ReportAssetWeightsAdverse,ROW()-ROW(P$120),1):INDEX(ReportAssetWeightsAdverse,ROW()-ROW(P$120),NumberOfAssets),INT(INDEX(tblAssetMenuSpecs[Is Commodities],1):(INDEX(tblAssetMenuSpecs[Is Commodities],NumberOfAssets))))</f>
        <v>0</v>
      </c>
      <c r="Q127" s="280">
        <f>MMULT(INDEX(ReportAssetWeightsAdverse,ROW()-ROW(Q$120),1):INDEX(ReportAssetWeightsAdverse,ROW()-ROW(Q$120),NumberOfAssets),INT(INDEX(tblAssetMenuSpecs[Is Private Equity],1):(INDEX(tblAssetMenuSpecs[Is Private Equity],NumberOfAssets))))</f>
        <v>0</v>
      </c>
      <c r="R127" s="280">
        <f>MMULT(INDEX(ReportAssetWeightsAdverse,ROW()-ROW(R$120),1):INDEX(ReportAssetWeightsAdverse,ROW()-ROW(R$120),NumberOfAssets),INT(INDEX(tblAssetMenuSpecs[Is Hedge Funds],1):(INDEX(tblAssetMenuSpecs[Is Hedge Funds],NumberOfAssets))))</f>
        <v>0</v>
      </c>
      <c r="S127" s="280">
        <f>MMULT(INDEX(ReportAssetWeightsAdverse,ROW()-ROW(S$120),1):INDEX(ReportAssetWeightsAdverse,ROW()-ROW(S$120),NumberOfAssets),INT(INDEX(tblAssetMenuSpecs[Is Real Estate EU],1):(INDEX(tblAssetMenuSpecs[Is Real Estate EU],NumberOfAssets))))</f>
        <v>0</v>
      </c>
      <c r="T127" s="280">
        <f>MMULT(INDEX(ReportAssetWeightsAdverse,ROW()-ROW(T$120),1):INDEX(ReportAssetWeightsAdverse,ROW()-ROW(T$120),NumberOfAssets),INT(INDEX(tblAssetMenuSpecs[Is Real Estate US],1):(INDEX(tblAssetMenuSpecs[Is Real Estate US],NumberOfAssets))))</f>
        <v>0</v>
      </c>
      <c r="U127" s="280">
        <f>MMULT(INDEX(ReportAssetWeightsAdverse,ROW()-ROW(U$120),1):INDEX(ReportAssetWeightsAdverse,ROW()-ROW(U$120),NumberOfAssets),INT(INDEX(tblAssetMenuSpecs[Is Real Estate Other Developed Markets],1):(INDEX(tblAssetMenuSpecs[Is Real Estate Other Developed Markets],NumberOfAssets))))</f>
        <v>0</v>
      </c>
      <c r="V127" s="280">
        <f>MMULT(INDEX(ReportAssetWeightsAdverse,ROW()-ROW(V$120),1):INDEX(ReportAssetWeightsAdverse,ROW()-ROW(V$120),NumberOfAssets),INT(INDEX(tblAssetMenuSpecs[Is Real Estate Commercial EU (non-leveraged)],1):(INDEX(tblAssetMenuSpecs[Is Real Estate Commercial EU (non-leveraged)],NumberOfAssets))))</f>
        <v>0</v>
      </c>
      <c r="W127" s="280">
        <f>MMULT(INDEX(ReportAssetWeightsAdverse,ROW()-ROW(W$120),1):INDEX(ReportAssetWeightsAdverse,ROW()-ROW(W$120),NumberOfAssets),INT(INDEX(tblAssetMenuSpecs[Is Real Estate Residential EU (non-leveraged)],1):(INDEX(tblAssetMenuSpecs[Is Real Estate Residential EU (non-leveraged)],NumberOfAssets))))</f>
        <v>0</v>
      </c>
      <c r="X127" s="280">
        <f>MMULT(INDEX(ReportAssetWeightsAdverse,ROW()-ROW(X$120),1):INDEX(ReportAssetWeightsAdverse,ROW()-ROW(X$120),NumberOfAssets),INT(INDEX(tblAssetMenuSpecs[Is Government Bond EU],1):(INDEX(tblAssetMenuSpecs[Is Government Bond EU],NumberOfAssets))))</f>
        <v>0</v>
      </c>
      <c r="Y127" s="280">
        <f>MMULT(INDEX(ReportAssetWeightsAdverse,ROW()-ROW(Y$120),1):INDEX(ReportAssetWeightsAdverse,ROW()-ROW(Y$120),NumberOfAssets),INT(INDEX(tblAssetMenuSpecs[Is Government Bond US],1):(INDEX(tblAssetMenuSpecs[Is Government Bond US],NumberOfAssets))))</f>
        <v>0</v>
      </c>
      <c r="Z127" s="280">
        <f>MMULT(INDEX(ReportAssetWeightsAdverse,ROW()-ROW(Z$120),1):INDEX(ReportAssetWeightsAdverse,ROW()-ROW(Z$120),NumberOfAssets),INT(INDEX(tblAssetMenuSpecs[Is Government Bond Other Developed Markets],1):(INDEX(tblAssetMenuSpecs[Is Government Bond Other Developed Markets],NumberOfAssets))))</f>
        <v>0</v>
      </c>
      <c r="AA127" s="280">
        <f>MMULT(INDEX(ReportAssetWeightsAdverse,ROW()-ROW(AA$120),1):INDEX(ReportAssetWeightsAdverse,ROW()-ROW(AA$120),NumberOfAssets),INT(INDEX(tblAssetMenuSpecs[Is Government Bond Emerging Markets],1):(INDEX(tblAssetMenuSpecs[Is Government Bond Emerging Markets],NumberOfAssets))))</f>
        <v>0</v>
      </c>
      <c r="AB127" s="280">
        <f>MMULT(INDEX(ReportAssetWeightsAdverse,ROW()-ROW(AB$120),1):INDEX(ReportAssetWeightsAdverse,ROW()-ROW(AB$120),NumberOfAssets),INT(INDEX(tblAssetMenuSpecs[Is Corporate Bond],1):(INDEX(tblAssetMenuSpecs[Is Corporate Bond],NumberOfAssets))))</f>
        <v>0</v>
      </c>
      <c r="AC127" s="280">
        <f>MMULT(INDEX(ReportAssetWeightsAdverse,ROW()-ROW(AC$120),1):INDEX(ReportAssetWeightsAdverse,ROW()-ROW(AC$120),NumberOfAssets),INT(INDEX(tblAssetMenuSpecs[Is Corporate Bond Non-Financial],1):(INDEX(tblAssetMenuSpecs[Is Corporate Bond Non-Financial],NumberOfAssets))))</f>
        <v>0</v>
      </c>
      <c r="AD127" s="280">
        <f>MMULT(INDEX(ReportAssetWeightsAdverse,ROW()-ROW(AD$120),1):INDEX(ReportAssetWeightsAdverse,ROW()-ROW(AD$120),NumberOfAssets),INT(INDEX(tblAssetMenuSpecs[Is Corporate Bond Financial],1):(INDEX(tblAssetMenuSpecs[Is Corporate Bond Financial],NumberOfAssets))))</f>
        <v>0</v>
      </c>
      <c r="AE127" s="280">
        <f>MMULT(INDEX(ReportAssetWeightsAdverse,ROW()-ROW(AE$120),1):INDEX(ReportAssetWeightsAdverse,ROW()-ROW(AE$120),NumberOfAssets),INT(INDEX(tblAssetMenuSpecs[Is Cash and Deposits],1):(INDEX(tblAssetMenuSpecs[Is Cash and Deposits],NumberOfAssets))))</f>
        <v>1</v>
      </c>
    </row>
    <row r="128" spans="6:31" x14ac:dyDescent="0.25">
      <c r="F128" s="278">
        <f t="shared" si="1"/>
        <v>13</v>
      </c>
      <c r="G128" s="279">
        <f>MMULT(INDEX(ReportAssetWeightsAdverse,ROW()-ROW(G$120),1):INDEX(ReportAssetWeightsAdverse,ROW()-ROW(G$120),NumberOfAssets),INT(INDEX(tblAssetMenuSpecs[IsEquities],1):(INDEX(tblAssetMenuSpecs[IsEquities],NumberOfAssets))))</f>
        <v>0</v>
      </c>
      <c r="H128" s="279">
        <f>MMULT(INDEX(ReportAssetWeightsAdverse,ROW()-ROW(H$120),1):INDEX(ReportAssetWeightsAdverse,ROW()-ROW(H$120),NumberOfAssets),INT(INDEX(tblAssetMenuSpecs[IsRealEstate],1):(INDEX(tblAssetMenuSpecs[IsRealEstate],NumberOfAssets))))</f>
        <v>0</v>
      </c>
      <c r="I128" s="279">
        <f>MMULT(INDEX(ReportAssetWeightsAdverse,ROW()-ROW(I$120),1):INDEX(ReportAssetWeightsAdverse,ROW()-ROW(I$120),NumberOfAssets),INT(INDEX(tblAssetMenuSpecs[IsAlternatives],1):(INDEX(tblAssetMenuSpecs[IsAlternatives],NumberOfAssets))))</f>
        <v>0</v>
      </c>
      <c r="J128" s="279">
        <f>MMULT(INDEX(ReportAssetWeightsAdverse,ROW()-ROW(J$120),1):INDEX(ReportAssetWeightsAdverse,ROW()-ROW(J$120),NumberOfAssets),INT(INDEX(tblAssetMenuSpecs[IsFixedIncome],1):(INDEX(tblAssetMenuSpecs[IsFixedIncome],NumberOfAssets))))</f>
        <v>1</v>
      </c>
      <c r="L128" s="280">
        <f>MMULT(INDEX(ReportAssetWeightsAdverse,ROW()-ROW(L$120),1):INDEX(ReportAssetWeightsAdverse,ROW()-ROW(L$120),NumberOfAssets),INT(INDEX(tblAssetMenuSpecs[Is Equities EU],1):(INDEX(tblAssetMenuSpecs[Is Equities EU],NumberOfAssets))))</f>
        <v>0</v>
      </c>
      <c r="M128" s="280">
        <f>MMULT(INDEX(ReportAssetWeightsAdverse,ROW()-ROW(M$120),1):INDEX(ReportAssetWeightsAdverse,ROW()-ROW(M$120),NumberOfAssets),INT(INDEX(tblAssetMenuSpecs[Is Equities US],1):(INDEX(tblAssetMenuSpecs[Is Equities US],NumberOfAssets))))</f>
        <v>0</v>
      </c>
      <c r="N128" s="280">
        <f>MMULT(INDEX(ReportAssetWeightsAdverse,ROW()-ROW(N$120),1):INDEX(ReportAssetWeightsAdverse,ROW()-ROW(N$120),NumberOfAssets),INT(INDEX(tblAssetMenuSpecs[Is Equities Other Developed Markets],1):(INDEX(tblAssetMenuSpecs[Is Equities Other Developed Markets],NumberOfAssets))))</f>
        <v>0</v>
      </c>
      <c r="O128" s="280">
        <f>MMULT(INDEX(ReportAssetWeightsAdverse,ROW()-ROW(O$120),1):INDEX(ReportAssetWeightsAdverse,ROW()-ROW(O$120),NumberOfAssets),INT(INDEX(tblAssetMenuSpecs[Is Equities Emerging Markets],1):(INDEX(tblAssetMenuSpecs[Is Equities Emerging Markets],NumberOfAssets))))</f>
        <v>0</v>
      </c>
      <c r="P128" s="280">
        <f>MMULT(INDEX(ReportAssetWeightsAdverse,ROW()-ROW(P$120),1):INDEX(ReportAssetWeightsAdverse,ROW()-ROW(P$120),NumberOfAssets),INT(INDEX(tblAssetMenuSpecs[Is Commodities],1):(INDEX(tblAssetMenuSpecs[Is Commodities],NumberOfAssets))))</f>
        <v>0</v>
      </c>
      <c r="Q128" s="280">
        <f>MMULT(INDEX(ReportAssetWeightsAdverse,ROW()-ROW(Q$120),1):INDEX(ReportAssetWeightsAdverse,ROW()-ROW(Q$120),NumberOfAssets),INT(INDEX(tblAssetMenuSpecs[Is Private Equity],1):(INDEX(tblAssetMenuSpecs[Is Private Equity],NumberOfAssets))))</f>
        <v>0</v>
      </c>
      <c r="R128" s="280">
        <f>MMULT(INDEX(ReportAssetWeightsAdverse,ROW()-ROW(R$120),1):INDEX(ReportAssetWeightsAdverse,ROW()-ROW(R$120),NumberOfAssets),INT(INDEX(tblAssetMenuSpecs[Is Hedge Funds],1):(INDEX(tblAssetMenuSpecs[Is Hedge Funds],NumberOfAssets))))</f>
        <v>0</v>
      </c>
      <c r="S128" s="280">
        <f>MMULT(INDEX(ReportAssetWeightsAdverse,ROW()-ROW(S$120),1):INDEX(ReportAssetWeightsAdverse,ROW()-ROW(S$120),NumberOfAssets),INT(INDEX(tblAssetMenuSpecs[Is Real Estate EU],1):(INDEX(tblAssetMenuSpecs[Is Real Estate EU],NumberOfAssets))))</f>
        <v>0</v>
      </c>
      <c r="T128" s="280">
        <f>MMULT(INDEX(ReportAssetWeightsAdverse,ROW()-ROW(T$120),1):INDEX(ReportAssetWeightsAdverse,ROW()-ROW(T$120),NumberOfAssets),INT(INDEX(tblAssetMenuSpecs[Is Real Estate US],1):(INDEX(tblAssetMenuSpecs[Is Real Estate US],NumberOfAssets))))</f>
        <v>0</v>
      </c>
      <c r="U128" s="280">
        <f>MMULT(INDEX(ReportAssetWeightsAdverse,ROW()-ROW(U$120),1):INDEX(ReportAssetWeightsAdverse,ROW()-ROW(U$120),NumberOfAssets),INT(INDEX(tblAssetMenuSpecs[Is Real Estate Other Developed Markets],1):(INDEX(tblAssetMenuSpecs[Is Real Estate Other Developed Markets],NumberOfAssets))))</f>
        <v>0</v>
      </c>
      <c r="V128" s="280">
        <f>MMULT(INDEX(ReportAssetWeightsAdverse,ROW()-ROW(V$120),1):INDEX(ReportAssetWeightsAdverse,ROW()-ROW(V$120),NumberOfAssets),INT(INDEX(tblAssetMenuSpecs[Is Real Estate Commercial EU (non-leveraged)],1):(INDEX(tblAssetMenuSpecs[Is Real Estate Commercial EU (non-leveraged)],NumberOfAssets))))</f>
        <v>0</v>
      </c>
      <c r="W128" s="280">
        <f>MMULT(INDEX(ReportAssetWeightsAdverse,ROW()-ROW(W$120),1):INDEX(ReportAssetWeightsAdverse,ROW()-ROW(W$120),NumberOfAssets),INT(INDEX(tblAssetMenuSpecs[Is Real Estate Residential EU (non-leveraged)],1):(INDEX(tblAssetMenuSpecs[Is Real Estate Residential EU (non-leveraged)],NumberOfAssets))))</f>
        <v>0</v>
      </c>
      <c r="X128" s="280">
        <f>MMULT(INDEX(ReportAssetWeightsAdverse,ROW()-ROW(X$120),1):INDEX(ReportAssetWeightsAdverse,ROW()-ROW(X$120),NumberOfAssets),INT(INDEX(tblAssetMenuSpecs[Is Government Bond EU],1):(INDEX(tblAssetMenuSpecs[Is Government Bond EU],NumberOfAssets))))</f>
        <v>0</v>
      </c>
      <c r="Y128" s="280">
        <f>MMULT(INDEX(ReportAssetWeightsAdverse,ROW()-ROW(Y$120),1):INDEX(ReportAssetWeightsAdverse,ROW()-ROW(Y$120),NumberOfAssets),INT(INDEX(tblAssetMenuSpecs[Is Government Bond US],1):(INDEX(tblAssetMenuSpecs[Is Government Bond US],NumberOfAssets))))</f>
        <v>0</v>
      </c>
      <c r="Z128" s="280">
        <f>MMULT(INDEX(ReportAssetWeightsAdverse,ROW()-ROW(Z$120),1):INDEX(ReportAssetWeightsAdverse,ROW()-ROW(Z$120),NumberOfAssets),INT(INDEX(tblAssetMenuSpecs[Is Government Bond Other Developed Markets],1):(INDEX(tblAssetMenuSpecs[Is Government Bond Other Developed Markets],NumberOfAssets))))</f>
        <v>0</v>
      </c>
      <c r="AA128" s="280">
        <f>MMULT(INDEX(ReportAssetWeightsAdverse,ROW()-ROW(AA$120),1):INDEX(ReportAssetWeightsAdverse,ROW()-ROW(AA$120),NumberOfAssets),INT(INDEX(tblAssetMenuSpecs[Is Government Bond Emerging Markets],1):(INDEX(tblAssetMenuSpecs[Is Government Bond Emerging Markets],NumberOfAssets))))</f>
        <v>0</v>
      </c>
      <c r="AB128" s="280">
        <f>MMULT(INDEX(ReportAssetWeightsAdverse,ROW()-ROW(AB$120),1):INDEX(ReportAssetWeightsAdverse,ROW()-ROW(AB$120),NumberOfAssets),INT(INDEX(tblAssetMenuSpecs[Is Corporate Bond],1):(INDEX(tblAssetMenuSpecs[Is Corporate Bond],NumberOfAssets))))</f>
        <v>0</v>
      </c>
      <c r="AC128" s="280">
        <f>MMULT(INDEX(ReportAssetWeightsAdverse,ROW()-ROW(AC$120),1):INDEX(ReportAssetWeightsAdverse,ROW()-ROW(AC$120),NumberOfAssets),INT(INDEX(tblAssetMenuSpecs[Is Corporate Bond Non-Financial],1):(INDEX(tblAssetMenuSpecs[Is Corporate Bond Non-Financial],NumberOfAssets))))</f>
        <v>0</v>
      </c>
      <c r="AD128" s="280">
        <f>MMULT(INDEX(ReportAssetWeightsAdverse,ROW()-ROW(AD$120),1):INDEX(ReportAssetWeightsAdverse,ROW()-ROW(AD$120),NumberOfAssets),INT(INDEX(tblAssetMenuSpecs[Is Corporate Bond Financial],1):(INDEX(tblAssetMenuSpecs[Is Corporate Bond Financial],NumberOfAssets))))</f>
        <v>0</v>
      </c>
      <c r="AE128" s="280">
        <f>MMULT(INDEX(ReportAssetWeightsAdverse,ROW()-ROW(AE$120),1):INDEX(ReportAssetWeightsAdverse,ROW()-ROW(AE$120),NumberOfAssets),INT(INDEX(tblAssetMenuSpecs[Is Cash and Deposits],1):(INDEX(tblAssetMenuSpecs[Is Cash and Deposits],NumberOfAssets))))</f>
        <v>1</v>
      </c>
    </row>
    <row r="129" spans="6:31" x14ac:dyDescent="0.25">
      <c r="F129" s="278">
        <f t="shared" si="1"/>
        <v>12</v>
      </c>
      <c r="G129" s="279">
        <f>MMULT(INDEX(ReportAssetWeightsAdverse,ROW()-ROW(G$120),1):INDEX(ReportAssetWeightsAdverse,ROW()-ROW(G$120),NumberOfAssets),INT(INDEX(tblAssetMenuSpecs[IsEquities],1):(INDEX(tblAssetMenuSpecs[IsEquities],NumberOfAssets))))</f>
        <v>0</v>
      </c>
      <c r="H129" s="279">
        <f>MMULT(INDEX(ReportAssetWeightsAdverse,ROW()-ROW(H$120),1):INDEX(ReportAssetWeightsAdverse,ROW()-ROW(H$120),NumberOfAssets),INT(INDEX(tblAssetMenuSpecs[IsRealEstate],1):(INDEX(tblAssetMenuSpecs[IsRealEstate],NumberOfAssets))))</f>
        <v>0</v>
      </c>
      <c r="I129" s="279">
        <f>MMULT(INDEX(ReportAssetWeightsAdverse,ROW()-ROW(I$120),1):INDEX(ReportAssetWeightsAdverse,ROW()-ROW(I$120),NumberOfAssets),INT(INDEX(tblAssetMenuSpecs[IsAlternatives],1):(INDEX(tblAssetMenuSpecs[IsAlternatives],NumberOfAssets))))</f>
        <v>0</v>
      </c>
      <c r="J129" s="279">
        <f>MMULT(INDEX(ReportAssetWeightsAdverse,ROW()-ROW(J$120),1):INDEX(ReportAssetWeightsAdverse,ROW()-ROW(J$120),NumberOfAssets),INT(INDEX(tblAssetMenuSpecs[IsFixedIncome],1):(INDEX(tblAssetMenuSpecs[IsFixedIncome],NumberOfAssets))))</f>
        <v>1</v>
      </c>
      <c r="L129" s="280">
        <f>MMULT(INDEX(ReportAssetWeightsAdverse,ROW()-ROW(L$120),1):INDEX(ReportAssetWeightsAdverse,ROW()-ROW(L$120),NumberOfAssets),INT(INDEX(tblAssetMenuSpecs[Is Equities EU],1):(INDEX(tblAssetMenuSpecs[Is Equities EU],NumberOfAssets))))</f>
        <v>0</v>
      </c>
      <c r="M129" s="280">
        <f>MMULT(INDEX(ReportAssetWeightsAdverse,ROW()-ROW(M$120),1):INDEX(ReportAssetWeightsAdverse,ROW()-ROW(M$120),NumberOfAssets),INT(INDEX(tblAssetMenuSpecs[Is Equities US],1):(INDEX(tblAssetMenuSpecs[Is Equities US],NumberOfAssets))))</f>
        <v>0</v>
      </c>
      <c r="N129" s="280">
        <f>MMULT(INDEX(ReportAssetWeightsAdverse,ROW()-ROW(N$120),1):INDEX(ReportAssetWeightsAdverse,ROW()-ROW(N$120),NumberOfAssets),INT(INDEX(tblAssetMenuSpecs[Is Equities Other Developed Markets],1):(INDEX(tblAssetMenuSpecs[Is Equities Other Developed Markets],NumberOfAssets))))</f>
        <v>0</v>
      </c>
      <c r="O129" s="280">
        <f>MMULT(INDEX(ReportAssetWeightsAdverse,ROW()-ROW(O$120),1):INDEX(ReportAssetWeightsAdverse,ROW()-ROW(O$120),NumberOfAssets),INT(INDEX(tblAssetMenuSpecs[Is Equities Emerging Markets],1):(INDEX(tblAssetMenuSpecs[Is Equities Emerging Markets],NumberOfAssets))))</f>
        <v>0</v>
      </c>
      <c r="P129" s="280">
        <f>MMULT(INDEX(ReportAssetWeightsAdverse,ROW()-ROW(P$120),1):INDEX(ReportAssetWeightsAdverse,ROW()-ROW(P$120),NumberOfAssets),INT(INDEX(tblAssetMenuSpecs[Is Commodities],1):(INDEX(tblAssetMenuSpecs[Is Commodities],NumberOfAssets))))</f>
        <v>0</v>
      </c>
      <c r="Q129" s="280">
        <f>MMULT(INDEX(ReportAssetWeightsAdverse,ROW()-ROW(Q$120),1):INDEX(ReportAssetWeightsAdverse,ROW()-ROW(Q$120),NumberOfAssets),INT(INDEX(tblAssetMenuSpecs[Is Private Equity],1):(INDEX(tblAssetMenuSpecs[Is Private Equity],NumberOfAssets))))</f>
        <v>0</v>
      </c>
      <c r="R129" s="280">
        <f>MMULT(INDEX(ReportAssetWeightsAdverse,ROW()-ROW(R$120),1):INDEX(ReportAssetWeightsAdverse,ROW()-ROW(R$120),NumberOfAssets),INT(INDEX(tblAssetMenuSpecs[Is Hedge Funds],1):(INDEX(tblAssetMenuSpecs[Is Hedge Funds],NumberOfAssets))))</f>
        <v>0</v>
      </c>
      <c r="S129" s="280">
        <f>MMULT(INDEX(ReportAssetWeightsAdverse,ROW()-ROW(S$120),1):INDEX(ReportAssetWeightsAdverse,ROW()-ROW(S$120),NumberOfAssets),INT(INDEX(tblAssetMenuSpecs[Is Real Estate EU],1):(INDEX(tblAssetMenuSpecs[Is Real Estate EU],NumberOfAssets))))</f>
        <v>0</v>
      </c>
      <c r="T129" s="280">
        <f>MMULT(INDEX(ReportAssetWeightsAdverse,ROW()-ROW(T$120),1):INDEX(ReportAssetWeightsAdverse,ROW()-ROW(T$120),NumberOfAssets),INT(INDEX(tblAssetMenuSpecs[Is Real Estate US],1):(INDEX(tblAssetMenuSpecs[Is Real Estate US],NumberOfAssets))))</f>
        <v>0</v>
      </c>
      <c r="U129" s="280">
        <f>MMULT(INDEX(ReportAssetWeightsAdverse,ROW()-ROW(U$120),1):INDEX(ReportAssetWeightsAdverse,ROW()-ROW(U$120),NumberOfAssets),INT(INDEX(tblAssetMenuSpecs[Is Real Estate Other Developed Markets],1):(INDEX(tblAssetMenuSpecs[Is Real Estate Other Developed Markets],NumberOfAssets))))</f>
        <v>0</v>
      </c>
      <c r="V129" s="280">
        <f>MMULT(INDEX(ReportAssetWeightsAdverse,ROW()-ROW(V$120),1):INDEX(ReportAssetWeightsAdverse,ROW()-ROW(V$120),NumberOfAssets),INT(INDEX(tblAssetMenuSpecs[Is Real Estate Commercial EU (non-leveraged)],1):(INDEX(tblAssetMenuSpecs[Is Real Estate Commercial EU (non-leveraged)],NumberOfAssets))))</f>
        <v>0</v>
      </c>
      <c r="W129" s="280">
        <f>MMULT(INDEX(ReportAssetWeightsAdverse,ROW()-ROW(W$120),1):INDEX(ReportAssetWeightsAdverse,ROW()-ROW(W$120),NumberOfAssets),INT(INDEX(tblAssetMenuSpecs[Is Real Estate Residential EU (non-leveraged)],1):(INDEX(tblAssetMenuSpecs[Is Real Estate Residential EU (non-leveraged)],NumberOfAssets))))</f>
        <v>0</v>
      </c>
      <c r="X129" s="280">
        <f>MMULT(INDEX(ReportAssetWeightsAdverse,ROW()-ROW(X$120),1):INDEX(ReportAssetWeightsAdverse,ROW()-ROW(X$120),NumberOfAssets),INT(INDEX(tblAssetMenuSpecs[Is Government Bond EU],1):(INDEX(tblAssetMenuSpecs[Is Government Bond EU],NumberOfAssets))))</f>
        <v>0</v>
      </c>
      <c r="Y129" s="280">
        <f>MMULT(INDEX(ReportAssetWeightsAdverse,ROW()-ROW(Y$120),1):INDEX(ReportAssetWeightsAdverse,ROW()-ROW(Y$120),NumberOfAssets),INT(INDEX(tblAssetMenuSpecs[Is Government Bond US],1):(INDEX(tblAssetMenuSpecs[Is Government Bond US],NumberOfAssets))))</f>
        <v>0</v>
      </c>
      <c r="Z129" s="280">
        <f>MMULT(INDEX(ReportAssetWeightsAdverse,ROW()-ROW(Z$120),1):INDEX(ReportAssetWeightsAdverse,ROW()-ROW(Z$120),NumberOfAssets),INT(INDEX(tblAssetMenuSpecs[Is Government Bond Other Developed Markets],1):(INDEX(tblAssetMenuSpecs[Is Government Bond Other Developed Markets],NumberOfAssets))))</f>
        <v>0</v>
      </c>
      <c r="AA129" s="280">
        <f>MMULT(INDEX(ReportAssetWeightsAdverse,ROW()-ROW(AA$120),1):INDEX(ReportAssetWeightsAdverse,ROW()-ROW(AA$120),NumberOfAssets),INT(INDEX(tblAssetMenuSpecs[Is Government Bond Emerging Markets],1):(INDEX(tblAssetMenuSpecs[Is Government Bond Emerging Markets],NumberOfAssets))))</f>
        <v>0</v>
      </c>
      <c r="AB129" s="280">
        <f>MMULT(INDEX(ReportAssetWeightsAdverse,ROW()-ROW(AB$120),1):INDEX(ReportAssetWeightsAdverse,ROW()-ROW(AB$120),NumberOfAssets),INT(INDEX(tblAssetMenuSpecs[Is Corporate Bond],1):(INDEX(tblAssetMenuSpecs[Is Corporate Bond],NumberOfAssets))))</f>
        <v>0</v>
      </c>
      <c r="AC129" s="280">
        <f>MMULT(INDEX(ReportAssetWeightsAdverse,ROW()-ROW(AC$120),1):INDEX(ReportAssetWeightsAdverse,ROW()-ROW(AC$120),NumberOfAssets),INT(INDEX(tblAssetMenuSpecs[Is Corporate Bond Non-Financial],1):(INDEX(tblAssetMenuSpecs[Is Corporate Bond Non-Financial],NumberOfAssets))))</f>
        <v>0</v>
      </c>
      <c r="AD129" s="280">
        <f>MMULT(INDEX(ReportAssetWeightsAdverse,ROW()-ROW(AD$120),1):INDEX(ReportAssetWeightsAdverse,ROW()-ROW(AD$120),NumberOfAssets),INT(INDEX(tblAssetMenuSpecs[Is Corporate Bond Financial],1):(INDEX(tblAssetMenuSpecs[Is Corporate Bond Financial],NumberOfAssets))))</f>
        <v>0</v>
      </c>
      <c r="AE129" s="280">
        <f>MMULT(INDEX(ReportAssetWeightsAdverse,ROW()-ROW(AE$120),1):INDEX(ReportAssetWeightsAdverse,ROW()-ROW(AE$120),NumberOfAssets),INT(INDEX(tblAssetMenuSpecs[Is Cash and Deposits],1):(INDEX(tblAssetMenuSpecs[Is Cash and Deposits],NumberOfAssets))))</f>
        <v>1</v>
      </c>
    </row>
    <row r="130" spans="6:31" x14ac:dyDescent="0.25">
      <c r="F130" s="278">
        <f t="shared" si="1"/>
        <v>11</v>
      </c>
      <c r="G130" s="279">
        <f>MMULT(INDEX(ReportAssetWeightsAdverse,ROW()-ROW(G$120),1):INDEX(ReportAssetWeightsAdverse,ROW()-ROW(G$120),NumberOfAssets),INT(INDEX(tblAssetMenuSpecs[IsEquities],1):(INDEX(tblAssetMenuSpecs[IsEquities],NumberOfAssets))))</f>
        <v>0</v>
      </c>
      <c r="H130" s="279">
        <f>MMULT(INDEX(ReportAssetWeightsAdverse,ROW()-ROW(H$120),1):INDEX(ReportAssetWeightsAdverse,ROW()-ROW(H$120),NumberOfAssets),INT(INDEX(tblAssetMenuSpecs[IsRealEstate],1):(INDEX(tblAssetMenuSpecs[IsRealEstate],NumberOfAssets))))</f>
        <v>0</v>
      </c>
      <c r="I130" s="279">
        <f>MMULT(INDEX(ReportAssetWeightsAdverse,ROW()-ROW(I$120),1):INDEX(ReportAssetWeightsAdverse,ROW()-ROW(I$120),NumberOfAssets),INT(INDEX(tblAssetMenuSpecs[IsAlternatives],1):(INDEX(tblAssetMenuSpecs[IsAlternatives],NumberOfAssets))))</f>
        <v>0</v>
      </c>
      <c r="J130" s="279">
        <f>MMULT(INDEX(ReportAssetWeightsAdverse,ROW()-ROW(J$120),1):INDEX(ReportAssetWeightsAdverse,ROW()-ROW(J$120),NumberOfAssets),INT(INDEX(tblAssetMenuSpecs[IsFixedIncome],1):(INDEX(tblAssetMenuSpecs[IsFixedIncome],NumberOfAssets))))</f>
        <v>1</v>
      </c>
      <c r="L130" s="280">
        <f>MMULT(INDEX(ReportAssetWeightsAdverse,ROW()-ROW(L$120),1):INDEX(ReportAssetWeightsAdverse,ROW()-ROW(L$120),NumberOfAssets),INT(INDEX(tblAssetMenuSpecs[Is Equities EU],1):(INDEX(tblAssetMenuSpecs[Is Equities EU],NumberOfAssets))))</f>
        <v>0</v>
      </c>
      <c r="M130" s="280">
        <f>MMULT(INDEX(ReportAssetWeightsAdverse,ROW()-ROW(M$120),1):INDEX(ReportAssetWeightsAdverse,ROW()-ROW(M$120),NumberOfAssets),INT(INDEX(tblAssetMenuSpecs[Is Equities US],1):(INDEX(tblAssetMenuSpecs[Is Equities US],NumberOfAssets))))</f>
        <v>0</v>
      </c>
      <c r="N130" s="280">
        <f>MMULT(INDEX(ReportAssetWeightsAdverse,ROW()-ROW(N$120),1):INDEX(ReportAssetWeightsAdverse,ROW()-ROW(N$120),NumberOfAssets),INT(INDEX(tblAssetMenuSpecs[Is Equities Other Developed Markets],1):(INDEX(tblAssetMenuSpecs[Is Equities Other Developed Markets],NumberOfAssets))))</f>
        <v>0</v>
      </c>
      <c r="O130" s="280">
        <f>MMULT(INDEX(ReportAssetWeightsAdverse,ROW()-ROW(O$120),1):INDEX(ReportAssetWeightsAdverse,ROW()-ROW(O$120),NumberOfAssets),INT(INDEX(tblAssetMenuSpecs[Is Equities Emerging Markets],1):(INDEX(tblAssetMenuSpecs[Is Equities Emerging Markets],NumberOfAssets))))</f>
        <v>0</v>
      </c>
      <c r="P130" s="280">
        <f>MMULT(INDEX(ReportAssetWeightsAdverse,ROW()-ROW(P$120),1):INDEX(ReportAssetWeightsAdverse,ROW()-ROW(P$120),NumberOfAssets),INT(INDEX(tblAssetMenuSpecs[Is Commodities],1):(INDEX(tblAssetMenuSpecs[Is Commodities],NumberOfAssets))))</f>
        <v>0</v>
      </c>
      <c r="Q130" s="280">
        <f>MMULT(INDEX(ReportAssetWeightsAdverse,ROW()-ROW(Q$120),1):INDEX(ReportAssetWeightsAdverse,ROW()-ROW(Q$120),NumberOfAssets),INT(INDEX(tblAssetMenuSpecs[Is Private Equity],1):(INDEX(tblAssetMenuSpecs[Is Private Equity],NumberOfAssets))))</f>
        <v>0</v>
      </c>
      <c r="R130" s="280">
        <f>MMULT(INDEX(ReportAssetWeightsAdverse,ROW()-ROW(R$120),1):INDEX(ReportAssetWeightsAdverse,ROW()-ROW(R$120),NumberOfAssets),INT(INDEX(tblAssetMenuSpecs[Is Hedge Funds],1):(INDEX(tblAssetMenuSpecs[Is Hedge Funds],NumberOfAssets))))</f>
        <v>0</v>
      </c>
      <c r="S130" s="280">
        <f>MMULT(INDEX(ReportAssetWeightsAdverse,ROW()-ROW(S$120),1):INDEX(ReportAssetWeightsAdverse,ROW()-ROW(S$120),NumberOfAssets),INT(INDEX(tblAssetMenuSpecs[Is Real Estate EU],1):(INDEX(tblAssetMenuSpecs[Is Real Estate EU],NumberOfAssets))))</f>
        <v>0</v>
      </c>
      <c r="T130" s="280">
        <f>MMULT(INDEX(ReportAssetWeightsAdverse,ROW()-ROW(T$120),1):INDEX(ReportAssetWeightsAdverse,ROW()-ROW(T$120),NumberOfAssets),INT(INDEX(tblAssetMenuSpecs[Is Real Estate US],1):(INDEX(tblAssetMenuSpecs[Is Real Estate US],NumberOfAssets))))</f>
        <v>0</v>
      </c>
      <c r="U130" s="280">
        <f>MMULT(INDEX(ReportAssetWeightsAdverse,ROW()-ROW(U$120),1):INDEX(ReportAssetWeightsAdverse,ROW()-ROW(U$120),NumberOfAssets),INT(INDEX(tblAssetMenuSpecs[Is Real Estate Other Developed Markets],1):(INDEX(tblAssetMenuSpecs[Is Real Estate Other Developed Markets],NumberOfAssets))))</f>
        <v>0</v>
      </c>
      <c r="V130" s="280">
        <f>MMULT(INDEX(ReportAssetWeightsAdverse,ROW()-ROW(V$120),1):INDEX(ReportAssetWeightsAdverse,ROW()-ROW(V$120),NumberOfAssets),INT(INDEX(tblAssetMenuSpecs[Is Real Estate Commercial EU (non-leveraged)],1):(INDEX(tblAssetMenuSpecs[Is Real Estate Commercial EU (non-leveraged)],NumberOfAssets))))</f>
        <v>0</v>
      </c>
      <c r="W130" s="280">
        <f>MMULT(INDEX(ReportAssetWeightsAdverse,ROW()-ROW(W$120),1):INDEX(ReportAssetWeightsAdverse,ROW()-ROW(W$120),NumberOfAssets),INT(INDEX(tblAssetMenuSpecs[Is Real Estate Residential EU (non-leveraged)],1):(INDEX(tblAssetMenuSpecs[Is Real Estate Residential EU (non-leveraged)],NumberOfAssets))))</f>
        <v>0</v>
      </c>
      <c r="X130" s="280">
        <f>MMULT(INDEX(ReportAssetWeightsAdverse,ROW()-ROW(X$120),1):INDEX(ReportAssetWeightsAdverse,ROW()-ROW(X$120),NumberOfAssets),INT(INDEX(tblAssetMenuSpecs[Is Government Bond EU],1):(INDEX(tblAssetMenuSpecs[Is Government Bond EU],NumberOfAssets))))</f>
        <v>0</v>
      </c>
      <c r="Y130" s="280">
        <f>MMULT(INDEX(ReportAssetWeightsAdverse,ROW()-ROW(Y$120),1):INDEX(ReportAssetWeightsAdverse,ROW()-ROW(Y$120),NumberOfAssets),INT(INDEX(tblAssetMenuSpecs[Is Government Bond US],1):(INDEX(tblAssetMenuSpecs[Is Government Bond US],NumberOfAssets))))</f>
        <v>0</v>
      </c>
      <c r="Z130" s="280">
        <f>MMULT(INDEX(ReportAssetWeightsAdverse,ROW()-ROW(Z$120),1):INDEX(ReportAssetWeightsAdverse,ROW()-ROW(Z$120),NumberOfAssets),INT(INDEX(tblAssetMenuSpecs[Is Government Bond Other Developed Markets],1):(INDEX(tblAssetMenuSpecs[Is Government Bond Other Developed Markets],NumberOfAssets))))</f>
        <v>0</v>
      </c>
      <c r="AA130" s="280">
        <f>MMULT(INDEX(ReportAssetWeightsAdverse,ROW()-ROW(AA$120),1):INDEX(ReportAssetWeightsAdverse,ROW()-ROW(AA$120),NumberOfAssets),INT(INDEX(tblAssetMenuSpecs[Is Government Bond Emerging Markets],1):(INDEX(tblAssetMenuSpecs[Is Government Bond Emerging Markets],NumberOfAssets))))</f>
        <v>0</v>
      </c>
      <c r="AB130" s="280">
        <f>MMULT(INDEX(ReportAssetWeightsAdverse,ROW()-ROW(AB$120),1):INDEX(ReportAssetWeightsAdverse,ROW()-ROW(AB$120),NumberOfAssets),INT(INDEX(tblAssetMenuSpecs[Is Corporate Bond],1):(INDEX(tblAssetMenuSpecs[Is Corporate Bond],NumberOfAssets))))</f>
        <v>0</v>
      </c>
      <c r="AC130" s="280">
        <f>MMULT(INDEX(ReportAssetWeightsAdverse,ROW()-ROW(AC$120),1):INDEX(ReportAssetWeightsAdverse,ROW()-ROW(AC$120),NumberOfAssets),INT(INDEX(tblAssetMenuSpecs[Is Corporate Bond Non-Financial],1):(INDEX(tblAssetMenuSpecs[Is Corporate Bond Non-Financial],NumberOfAssets))))</f>
        <v>0</v>
      </c>
      <c r="AD130" s="280">
        <f>MMULT(INDEX(ReportAssetWeightsAdverse,ROW()-ROW(AD$120),1):INDEX(ReportAssetWeightsAdverse,ROW()-ROW(AD$120),NumberOfAssets),INT(INDEX(tblAssetMenuSpecs[Is Corporate Bond Financial],1):(INDEX(tblAssetMenuSpecs[Is Corporate Bond Financial],NumberOfAssets))))</f>
        <v>0</v>
      </c>
      <c r="AE130" s="280">
        <f>MMULT(INDEX(ReportAssetWeightsAdverse,ROW()-ROW(AE$120),1):INDEX(ReportAssetWeightsAdverse,ROW()-ROW(AE$120),NumberOfAssets),INT(INDEX(tblAssetMenuSpecs[Is Cash and Deposits],1):(INDEX(tblAssetMenuSpecs[Is Cash and Deposits],NumberOfAssets))))</f>
        <v>1</v>
      </c>
    </row>
    <row r="131" spans="6:31" x14ac:dyDescent="0.25">
      <c r="F131" s="278">
        <f t="shared" si="1"/>
        <v>10</v>
      </c>
      <c r="G131" s="279">
        <f>MMULT(INDEX(ReportAssetWeightsAdverse,ROW()-ROW(G$120),1):INDEX(ReportAssetWeightsAdverse,ROW()-ROW(G$120),NumberOfAssets),INT(INDEX(tblAssetMenuSpecs[IsEquities],1):(INDEX(tblAssetMenuSpecs[IsEquities],NumberOfAssets))))</f>
        <v>0</v>
      </c>
      <c r="H131" s="279">
        <f>MMULT(INDEX(ReportAssetWeightsAdverse,ROW()-ROW(H$120),1):INDEX(ReportAssetWeightsAdverse,ROW()-ROW(H$120),NumberOfAssets),INT(INDEX(tblAssetMenuSpecs[IsRealEstate],1):(INDEX(tblAssetMenuSpecs[IsRealEstate],NumberOfAssets))))</f>
        <v>0</v>
      </c>
      <c r="I131" s="279">
        <f>MMULT(INDEX(ReportAssetWeightsAdverse,ROW()-ROW(I$120),1):INDEX(ReportAssetWeightsAdverse,ROW()-ROW(I$120),NumberOfAssets),INT(INDEX(tblAssetMenuSpecs[IsAlternatives],1):(INDEX(tblAssetMenuSpecs[IsAlternatives],NumberOfAssets))))</f>
        <v>0</v>
      </c>
      <c r="J131" s="279">
        <f>MMULT(INDEX(ReportAssetWeightsAdverse,ROW()-ROW(J$120),1):INDEX(ReportAssetWeightsAdverse,ROW()-ROW(J$120),NumberOfAssets),INT(INDEX(tblAssetMenuSpecs[IsFixedIncome],1):(INDEX(tblAssetMenuSpecs[IsFixedIncome],NumberOfAssets))))</f>
        <v>1</v>
      </c>
      <c r="L131" s="280">
        <f>MMULT(INDEX(ReportAssetWeightsAdverse,ROW()-ROW(L$120),1):INDEX(ReportAssetWeightsAdverse,ROW()-ROW(L$120),NumberOfAssets),INT(INDEX(tblAssetMenuSpecs[Is Equities EU],1):(INDEX(tblAssetMenuSpecs[Is Equities EU],NumberOfAssets))))</f>
        <v>0</v>
      </c>
      <c r="M131" s="280">
        <f>MMULT(INDEX(ReportAssetWeightsAdverse,ROW()-ROW(M$120),1):INDEX(ReportAssetWeightsAdverse,ROW()-ROW(M$120),NumberOfAssets),INT(INDEX(tblAssetMenuSpecs[Is Equities US],1):(INDEX(tblAssetMenuSpecs[Is Equities US],NumberOfAssets))))</f>
        <v>0</v>
      </c>
      <c r="N131" s="280">
        <f>MMULT(INDEX(ReportAssetWeightsAdverse,ROW()-ROW(N$120),1):INDEX(ReportAssetWeightsAdverse,ROW()-ROW(N$120),NumberOfAssets),INT(INDEX(tblAssetMenuSpecs[Is Equities Other Developed Markets],1):(INDEX(tblAssetMenuSpecs[Is Equities Other Developed Markets],NumberOfAssets))))</f>
        <v>0</v>
      </c>
      <c r="O131" s="280">
        <f>MMULT(INDEX(ReportAssetWeightsAdverse,ROW()-ROW(O$120),1):INDEX(ReportAssetWeightsAdverse,ROW()-ROW(O$120),NumberOfAssets),INT(INDEX(tblAssetMenuSpecs[Is Equities Emerging Markets],1):(INDEX(tblAssetMenuSpecs[Is Equities Emerging Markets],NumberOfAssets))))</f>
        <v>0</v>
      </c>
      <c r="P131" s="280">
        <f>MMULT(INDEX(ReportAssetWeightsAdverse,ROW()-ROW(P$120),1):INDEX(ReportAssetWeightsAdverse,ROW()-ROW(P$120),NumberOfAssets),INT(INDEX(tblAssetMenuSpecs[Is Commodities],1):(INDEX(tblAssetMenuSpecs[Is Commodities],NumberOfAssets))))</f>
        <v>0</v>
      </c>
      <c r="Q131" s="280">
        <f>MMULT(INDEX(ReportAssetWeightsAdverse,ROW()-ROW(Q$120),1):INDEX(ReportAssetWeightsAdverse,ROW()-ROW(Q$120),NumberOfAssets),INT(INDEX(tblAssetMenuSpecs[Is Private Equity],1):(INDEX(tblAssetMenuSpecs[Is Private Equity],NumberOfAssets))))</f>
        <v>0</v>
      </c>
      <c r="R131" s="280">
        <f>MMULT(INDEX(ReportAssetWeightsAdverse,ROW()-ROW(R$120),1):INDEX(ReportAssetWeightsAdverse,ROW()-ROW(R$120),NumberOfAssets),INT(INDEX(tblAssetMenuSpecs[Is Hedge Funds],1):(INDEX(tblAssetMenuSpecs[Is Hedge Funds],NumberOfAssets))))</f>
        <v>0</v>
      </c>
      <c r="S131" s="280">
        <f>MMULT(INDEX(ReportAssetWeightsAdverse,ROW()-ROW(S$120),1):INDEX(ReportAssetWeightsAdverse,ROW()-ROW(S$120),NumberOfAssets),INT(INDEX(tblAssetMenuSpecs[Is Real Estate EU],1):(INDEX(tblAssetMenuSpecs[Is Real Estate EU],NumberOfAssets))))</f>
        <v>0</v>
      </c>
      <c r="T131" s="280">
        <f>MMULT(INDEX(ReportAssetWeightsAdverse,ROW()-ROW(T$120),1):INDEX(ReportAssetWeightsAdverse,ROW()-ROW(T$120),NumberOfAssets),INT(INDEX(tblAssetMenuSpecs[Is Real Estate US],1):(INDEX(tblAssetMenuSpecs[Is Real Estate US],NumberOfAssets))))</f>
        <v>0</v>
      </c>
      <c r="U131" s="280">
        <f>MMULT(INDEX(ReportAssetWeightsAdverse,ROW()-ROW(U$120),1):INDEX(ReportAssetWeightsAdverse,ROW()-ROW(U$120),NumberOfAssets),INT(INDEX(tblAssetMenuSpecs[Is Real Estate Other Developed Markets],1):(INDEX(tblAssetMenuSpecs[Is Real Estate Other Developed Markets],NumberOfAssets))))</f>
        <v>0</v>
      </c>
      <c r="V131" s="280">
        <f>MMULT(INDEX(ReportAssetWeightsAdverse,ROW()-ROW(V$120),1):INDEX(ReportAssetWeightsAdverse,ROW()-ROW(V$120),NumberOfAssets),INT(INDEX(tblAssetMenuSpecs[Is Real Estate Commercial EU (non-leveraged)],1):(INDEX(tblAssetMenuSpecs[Is Real Estate Commercial EU (non-leveraged)],NumberOfAssets))))</f>
        <v>0</v>
      </c>
      <c r="W131" s="280">
        <f>MMULT(INDEX(ReportAssetWeightsAdverse,ROW()-ROW(W$120),1):INDEX(ReportAssetWeightsAdverse,ROW()-ROW(W$120),NumberOfAssets),INT(INDEX(tblAssetMenuSpecs[Is Real Estate Residential EU (non-leveraged)],1):(INDEX(tblAssetMenuSpecs[Is Real Estate Residential EU (non-leveraged)],NumberOfAssets))))</f>
        <v>0</v>
      </c>
      <c r="X131" s="280">
        <f>MMULT(INDEX(ReportAssetWeightsAdverse,ROW()-ROW(X$120),1):INDEX(ReportAssetWeightsAdverse,ROW()-ROW(X$120),NumberOfAssets),INT(INDEX(tblAssetMenuSpecs[Is Government Bond EU],1):(INDEX(tblAssetMenuSpecs[Is Government Bond EU],NumberOfAssets))))</f>
        <v>0</v>
      </c>
      <c r="Y131" s="280">
        <f>MMULT(INDEX(ReportAssetWeightsAdverse,ROW()-ROW(Y$120),1):INDEX(ReportAssetWeightsAdverse,ROW()-ROW(Y$120),NumberOfAssets),INT(INDEX(tblAssetMenuSpecs[Is Government Bond US],1):(INDEX(tblAssetMenuSpecs[Is Government Bond US],NumberOfAssets))))</f>
        <v>0</v>
      </c>
      <c r="Z131" s="280">
        <f>MMULT(INDEX(ReportAssetWeightsAdverse,ROW()-ROW(Z$120),1):INDEX(ReportAssetWeightsAdverse,ROW()-ROW(Z$120),NumberOfAssets),INT(INDEX(tblAssetMenuSpecs[Is Government Bond Other Developed Markets],1):(INDEX(tblAssetMenuSpecs[Is Government Bond Other Developed Markets],NumberOfAssets))))</f>
        <v>0</v>
      </c>
      <c r="AA131" s="280">
        <f>MMULT(INDEX(ReportAssetWeightsAdverse,ROW()-ROW(AA$120),1):INDEX(ReportAssetWeightsAdverse,ROW()-ROW(AA$120),NumberOfAssets),INT(INDEX(tblAssetMenuSpecs[Is Government Bond Emerging Markets],1):(INDEX(tblAssetMenuSpecs[Is Government Bond Emerging Markets],NumberOfAssets))))</f>
        <v>0</v>
      </c>
      <c r="AB131" s="280">
        <f>MMULT(INDEX(ReportAssetWeightsAdverse,ROW()-ROW(AB$120),1):INDEX(ReportAssetWeightsAdverse,ROW()-ROW(AB$120),NumberOfAssets),INT(INDEX(tblAssetMenuSpecs[Is Corporate Bond],1):(INDEX(tblAssetMenuSpecs[Is Corporate Bond],NumberOfAssets))))</f>
        <v>0</v>
      </c>
      <c r="AC131" s="280">
        <f>MMULT(INDEX(ReportAssetWeightsAdverse,ROW()-ROW(AC$120),1):INDEX(ReportAssetWeightsAdverse,ROW()-ROW(AC$120),NumberOfAssets),INT(INDEX(tblAssetMenuSpecs[Is Corporate Bond Non-Financial],1):(INDEX(tblAssetMenuSpecs[Is Corporate Bond Non-Financial],NumberOfAssets))))</f>
        <v>0</v>
      </c>
      <c r="AD131" s="280">
        <f>MMULT(INDEX(ReportAssetWeightsAdverse,ROW()-ROW(AD$120),1):INDEX(ReportAssetWeightsAdverse,ROW()-ROW(AD$120),NumberOfAssets),INT(INDEX(tblAssetMenuSpecs[Is Corporate Bond Financial],1):(INDEX(tblAssetMenuSpecs[Is Corporate Bond Financial],NumberOfAssets))))</f>
        <v>0</v>
      </c>
      <c r="AE131" s="280">
        <f>MMULT(INDEX(ReportAssetWeightsAdverse,ROW()-ROW(AE$120),1):INDEX(ReportAssetWeightsAdverse,ROW()-ROW(AE$120),NumberOfAssets),INT(INDEX(tblAssetMenuSpecs[Is Cash and Deposits],1):(INDEX(tblAssetMenuSpecs[Is Cash and Deposits],NumberOfAssets))))</f>
        <v>1</v>
      </c>
    </row>
    <row r="132" spans="6:31" x14ac:dyDescent="0.25">
      <c r="F132" s="278">
        <f t="shared" si="1"/>
        <v>9</v>
      </c>
      <c r="G132" s="279">
        <f>MMULT(INDEX(ReportAssetWeightsAdverse,ROW()-ROW(G$120),1):INDEX(ReportAssetWeightsAdverse,ROW()-ROW(G$120),NumberOfAssets),INT(INDEX(tblAssetMenuSpecs[IsEquities],1):(INDEX(tblAssetMenuSpecs[IsEquities],NumberOfAssets))))</f>
        <v>0</v>
      </c>
      <c r="H132" s="279">
        <f>MMULT(INDEX(ReportAssetWeightsAdverse,ROW()-ROW(H$120),1):INDEX(ReportAssetWeightsAdverse,ROW()-ROW(H$120),NumberOfAssets),INT(INDEX(tblAssetMenuSpecs[IsRealEstate],1):(INDEX(tblAssetMenuSpecs[IsRealEstate],NumberOfAssets))))</f>
        <v>0</v>
      </c>
      <c r="I132" s="279">
        <f>MMULT(INDEX(ReportAssetWeightsAdverse,ROW()-ROW(I$120),1):INDEX(ReportAssetWeightsAdverse,ROW()-ROW(I$120),NumberOfAssets),INT(INDEX(tblAssetMenuSpecs[IsAlternatives],1):(INDEX(tblAssetMenuSpecs[IsAlternatives],NumberOfAssets))))</f>
        <v>0</v>
      </c>
      <c r="J132" s="279">
        <f>MMULT(INDEX(ReportAssetWeightsAdverse,ROW()-ROW(J$120),1):INDEX(ReportAssetWeightsAdverse,ROW()-ROW(J$120),NumberOfAssets),INT(INDEX(tblAssetMenuSpecs[IsFixedIncome],1):(INDEX(tblAssetMenuSpecs[IsFixedIncome],NumberOfAssets))))</f>
        <v>1</v>
      </c>
      <c r="L132" s="280">
        <f>MMULT(INDEX(ReportAssetWeightsAdverse,ROW()-ROW(L$120),1):INDEX(ReportAssetWeightsAdverse,ROW()-ROW(L$120),NumberOfAssets),INT(INDEX(tblAssetMenuSpecs[Is Equities EU],1):(INDEX(tblAssetMenuSpecs[Is Equities EU],NumberOfAssets))))</f>
        <v>0</v>
      </c>
      <c r="M132" s="280">
        <f>MMULT(INDEX(ReportAssetWeightsAdverse,ROW()-ROW(M$120),1):INDEX(ReportAssetWeightsAdverse,ROW()-ROW(M$120),NumberOfAssets),INT(INDEX(tblAssetMenuSpecs[Is Equities US],1):(INDEX(tblAssetMenuSpecs[Is Equities US],NumberOfAssets))))</f>
        <v>0</v>
      </c>
      <c r="N132" s="280">
        <f>MMULT(INDEX(ReportAssetWeightsAdverse,ROW()-ROW(N$120),1):INDEX(ReportAssetWeightsAdverse,ROW()-ROW(N$120),NumberOfAssets),INT(INDEX(tblAssetMenuSpecs[Is Equities Other Developed Markets],1):(INDEX(tblAssetMenuSpecs[Is Equities Other Developed Markets],NumberOfAssets))))</f>
        <v>0</v>
      </c>
      <c r="O132" s="280">
        <f>MMULT(INDEX(ReportAssetWeightsAdverse,ROW()-ROW(O$120),1):INDEX(ReportAssetWeightsAdverse,ROW()-ROW(O$120),NumberOfAssets),INT(INDEX(tblAssetMenuSpecs[Is Equities Emerging Markets],1):(INDEX(tblAssetMenuSpecs[Is Equities Emerging Markets],NumberOfAssets))))</f>
        <v>0</v>
      </c>
      <c r="P132" s="280">
        <f>MMULT(INDEX(ReportAssetWeightsAdverse,ROW()-ROW(P$120),1):INDEX(ReportAssetWeightsAdverse,ROW()-ROW(P$120),NumberOfAssets),INT(INDEX(tblAssetMenuSpecs[Is Commodities],1):(INDEX(tblAssetMenuSpecs[Is Commodities],NumberOfAssets))))</f>
        <v>0</v>
      </c>
      <c r="Q132" s="280">
        <f>MMULT(INDEX(ReportAssetWeightsAdverse,ROW()-ROW(Q$120),1):INDEX(ReportAssetWeightsAdverse,ROW()-ROW(Q$120),NumberOfAssets),INT(INDEX(tblAssetMenuSpecs[Is Private Equity],1):(INDEX(tblAssetMenuSpecs[Is Private Equity],NumberOfAssets))))</f>
        <v>0</v>
      </c>
      <c r="R132" s="280">
        <f>MMULT(INDEX(ReportAssetWeightsAdverse,ROW()-ROW(R$120),1):INDEX(ReportAssetWeightsAdverse,ROW()-ROW(R$120),NumberOfAssets),INT(INDEX(tblAssetMenuSpecs[Is Hedge Funds],1):(INDEX(tblAssetMenuSpecs[Is Hedge Funds],NumberOfAssets))))</f>
        <v>0</v>
      </c>
      <c r="S132" s="280">
        <f>MMULT(INDEX(ReportAssetWeightsAdverse,ROW()-ROW(S$120),1):INDEX(ReportAssetWeightsAdverse,ROW()-ROW(S$120),NumberOfAssets),INT(INDEX(tblAssetMenuSpecs[Is Real Estate EU],1):(INDEX(tblAssetMenuSpecs[Is Real Estate EU],NumberOfAssets))))</f>
        <v>0</v>
      </c>
      <c r="T132" s="280">
        <f>MMULT(INDEX(ReportAssetWeightsAdverse,ROW()-ROW(T$120),1):INDEX(ReportAssetWeightsAdverse,ROW()-ROW(T$120),NumberOfAssets),INT(INDEX(tblAssetMenuSpecs[Is Real Estate US],1):(INDEX(tblAssetMenuSpecs[Is Real Estate US],NumberOfAssets))))</f>
        <v>0</v>
      </c>
      <c r="U132" s="280">
        <f>MMULT(INDEX(ReportAssetWeightsAdverse,ROW()-ROW(U$120),1):INDEX(ReportAssetWeightsAdverse,ROW()-ROW(U$120),NumberOfAssets),INT(INDEX(tblAssetMenuSpecs[Is Real Estate Other Developed Markets],1):(INDEX(tblAssetMenuSpecs[Is Real Estate Other Developed Markets],NumberOfAssets))))</f>
        <v>0</v>
      </c>
      <c r="V132" s="280">
        <f>MMULT(INDEX(ReportAssetWeightsAdverse,ROW()-ROW(V$120),1):INDEX(ReportAssetWeightsAdverse,ROW()-ROW(V$120),NumberOfAssets),INT(INDEX(tblAssetMenuSpecs[Is Real Estate Commercial EU (non-leveraged)],1):(INDEX(tblAssetMenuSpecs[Is Real Estate Commercial EU (non-leveraged)],NumberOfAssets))))</f>
        <v>0</v>
      </c>
      <c r="W132" s="280">
        <f>MMULT(INDEX(ReportAssetWeightsAdverse,ROW()-ROW(W$120),1):INDEX(ReportAssetWeightsAdverse,ROW()-ROW(W$120),NumberOfAssets),INT(INDEX(tblAssetMenuSpecs[Is Real Estate Residential EU (non-leveraged)],1):(INDEX(tblAssetMenuSpecs[Is Real Estate Residential EU (non-leveraged)],NumberOfAssets))))</f>
        <v>0</v>
      </c>
      <c r="X132" s="280">
        <f>MMULT(INDEX(ReportAssetWeightsAdverse,ROW()-ROW(X$120),1):INDEX(ReportAssetWeightsAdverse,ROW()-ROW(X$120),NumberOfAssets),INT(INDEX(tblAssetMenuSpecs[Is Government Bond EU],1):(INDEX(tblAssetMenuSpecs[Is Government Bond EU],NumberOfAssets))))</f>
        <v>0</v>
      </c>
      <c r="Y132" s="280">
        <f>MMULT(INDEX(ReportAssetWeightsAdverse,ROW()-ROW(Y$120),1):INDEX(ReportAssetWeightsAdverse,ROW()-ROW(Y$120),NumberOfAssets),INT(INDEX(tblAssetMenuSpecs[Is Government Bond US],1):(INDEX(tblAssetMenuSpecs[Is Government Bond US],NumberOfAssets))))</f>
        <v>0</v>
      </c>
      <c r="Z132" s="280">
        <f>MMULT(INDEX(ReportAssetWeightsAdverse,ROW()-ROW(Z$120),1):INDEX(ReportAssetWeightsAdverse,ROW()-ROW(Z$120),NumberOfAssets),INT(INDEX(tblAssetMenuSpecs[Is Government Bond Other Developed Markets],1):(INDEX(tblAssetMenuSpecs[Is Government Bond Other Developed Markets],NumberOfAssets))))</f>
        <v>0</v>
      </c>
      <c r="AA132" s="280">
        <f>MMULT(INDEX(ReportAssetWeightsAdverse,ROW()-ROW(AA$120),1):INDEX(ReportAssetWeightsAdverse,ROW()-ROW(AA$120),NumberOfAssets),INT(INDEX(tblAssetMenuSpecs[Is Government Bond Emerging Markets],1):(INDEX(tblAssetMenuSpecs[Is Government Bond Emerging Markets],NumberOfAssets))))</f>
        <v>0</v>
      </c>
      <c r="AB132" s="280">
        <f>MMULT(INDEX(ReportAssetWeightsAdverse,ROW()-ROW(AB$120),1):INDEX(ReportAssetWeightsAdverse,ROW()-ROW(AB$120),NumberOfAssets),INT(INDEX(tblAssetMenuSpecs[Is Corporate Bond],1):(INDEX(tblAssetMenuSpecs[Is Corporate Bond],NumberOfAssets))))</f>
        <v>0</v>
      </c>
      <c r="AC132" s="280">
        <f>MMULT(INDEX(ReportAssetWeightsAdverse,ROW()-ROW(AC$120),1):INDEX(ReportAssetWeightsAdverse,ROW()-ROW(AC$120),NumberOfAssets),INT(INDEX(tblAssetMenuSpecs[Is Corporate Bond Non-Financial],1):(INDEX(tblAssetMenuSpecs[Is Corporate Bond Non-Financial],NumberOfAssets))))</f>
        <v>0</v>
      </c>
      <c r="AD132" s="280">
        <f>MMULT(INDEX(ReportAssetWeightsAdverse,ROW()-ROW(AD$120),1):INDEX(ReportAssetWeightsAdverse,ROW()-ROW(AD$120),NumberOfAssets),INT(INDEX(tblAssetMenuSpecs[Is Corporate Bond Financial],1):(INDEX(tblAssetMenuSpecs[Is Corporate Bond Financial],NumberOfAssets))))</f>
        <v>0</v>
      </c>
      <c r="AE132" s="280">
        <f>MMULT(INDEX(ReportAssetWeightsAdverse,ROW()-ROW(AE$120),1):INDEX(ReportAssetWeightsAdverse,ROW()-ROW(AE$120),NumberOfAssets),INT(INDEX(tblAssetMenuSpecs[Is Cash and Deposits],1):(INDEX(tblAssetMenuSpecs[Is Cash and Deposits],NumberOfAssets))))</f>
        <v>1</v>
      </c>
    </row>
    <row r="133" spans="6:31" x14ac:dyDescent="0.25">
      <c r="F133" s="278">
        <f t="shared" si="1"/>
        <v>8</v>
      </c>
      <c r="G133" s="279">
        <f>MMULT(INDEX(ReportAssetWeightsAdverse,ROW()-ROW(G$120),1):INDEX(ReportAssetWeightsAdverse,ROW()-ROW(G$120),NumberOfAssets),INT(INDEX(tblAssetMenuSpecs[IsEquities],1):(INDEX(tblAssetMenuSpecs[IsEquities],NumberOfAssets))))</f>
        <v>0</v>
      </c>
      <c r="H133" s="279">
        <f>MMULT(INDEX(ReportAssetWeightsAdverse,ROW()-ROW(H$120),1):INDEX(ReportAssetWeightsAdverse,ROW()-ROW(H$120),NumberOfAssets),INT(INDEX(tblAssetMenuSpecs[IsRealEstate],1):(INDEX(tblAssetMenuSpecs[IsRealEstate],NumberOfAssets))))</f>
        <v>0</v>
      </c>
      <c r="I133" s="279">
        <f>MMULT(INDEX(ReportAssetWeightsAdverse,ROW()-ROW(I$120),1):INDEX(ReportAssetWeightsAdverse,ROW()-ROW(I$120),NumberOfAssets),INT(INDEX(tblAssetMenuSpecs[IsAlternatives],1):(INDEX(tblAssetMenuSpecs[IsAlternatives],NumberOfAssets))))</f>
        <v>0</v>
      </c>
      <c r="J133" s="279">
        <f>MMULT(INDEX(ReportAssetWeightsAdverse,ROW()-ROW(J$120),1):INDEX(ReportAssetWeightsAdverse,ROW()-ROW(J$120),NumberOfAssets),INT(INDEX(tblAssetMenuSpecs[IsFixedIncome],1):(INDEX(tblAssetMenuSpecs[IsFixedIncome],NumberOfAssets))))</f>
        <v>1</v>
      </c>
      <c r="L133" s="280">
        <f>MMULT(INDEX(ReportAssetWeightsAdverse,ROW()-ROW(L$120),1):INDEX(ReportAssetWeightsAdverse,ROW()-ROW(L$120),NumberOfAssets),INT(INDEX(tblAssetMenuSpecs[Is Equities EU],1):(INDEX(tblAssetMenuSpecs[Is Equities EU],NumberOfAssets))))</f>
        <v>0</v>
      </c>
      <c r="M133" s="280">
        <f>MMULT(INDEX(ReportAssetWeightsAdverse,ROW()-ROW(M$120),1):INDEX(ReportAssetWeightsAdverse,ROW()-ROW(M$120),NumberOfAssets),INT(INDEX(tblAssetMenuSpecs[Is Equities US],1):(INDEX(tblAssetMenuSpecs[Is Equities US],NumberOfAssets))))</f>
        <v>0</v>
      </c>
      <c r="N133" s="280">
        <f>MMULT(INDEX(ReportAssetWeightsAdverse,ROW()-ROW(N$120),1):INDEX(ReportAssetWeightsAdverse,ROW()-ROW(N$120),NumberOfAssets),INT(INDEX(tblAssetMenuSpecs[Is Equities Other Developed Markets],1):(INDEX(tblAssetMenuSpecs[Is Equities Other Developed Markets],NumberOfAssets))))</f>
        <v>0</v>
      </c>
      <c r="O133" s="280">
        <f>MMULT(INDEX(ReportAssetWeightsAdverse,ROW()-ROW(O$120),1):INDEX(ReportAssetWeightsAdverse,ROW()-ROW(O$120),NumberOfAssets),INT(INDEX(tblAssetMenuSpecs[Is Equities Emerging Markets],1):(INDEX(tblAssetMenuSpecs[Is Equities Emerging Markets],NumberOfAssets))))</f>
        <v>0</v>
      </c>
      <c r="P133" s="280">
        <f>MMULT(INDEX(ReportAssetWeightsAdverse,ROW()-ROW(P$120),1):INDEX(ReportAssetWeightsAdverse,ROW()-ROW(P$120),NumberOfAssets),INT(INDEX(tblAssetMenuSpecs[Is Commodities],1):(INDEX(tblAssetMenuSpecs[Is Commodities],NumberOfAssets))))</f>
        <v>0</v>
      </c>
      <c r="Q133" s="280">
        <f>MMULT(INDEX(ReportAssetWeightsAdverse,ROW()-ROW(Q$120),1):INDEX(ReportAssetWeightsAdverse,ROW()-ROW(Q$120),NumberOfAssets),INT(INDEX(tblAssetMenuSpecs[Is Private Equity],1):(INDEX(tblAssetMenuSpecs[Is Private Equity],NumberOfAssets))))</f>
        <v>0</v>
      </c>
      <c r="R133" s="280">
        <f>MMULT(INDEX(ReportAssetWeightsAdverse,ROW()-ROW(R$120),1):INDEX(ReportAssetWeightsAdverse,ROW()-ROW(R$120),NumberOfAssets),INT(INDEX(tblAssetMenuSpecs[Is Hedge Funds],1):(INDEX(tblAssetMenuSpecs[Is Hedge Funds],NumberOfAssets))))</f>
        <v>0</v>
      </c>
      <c r="S133" s="280">
        <f>MMULT(INDEX(ReportAssetWeightsAdverse,ROW()-ROW(S$120),1):INDEX(ReportAssetWeightsAdverse,ROW()-ROW(S$120),NumberOfAssets),INT(INDEX(tblAssetMenuSpecs[Is Real Estate EU],1):(INDEX(tblAssetMenuSpecs[Is Real Estate EU],NumberOfAssets))))</f>
        <v>0</v>
      </c>
      <c r="T133" s="280">
        <f>MMULT(INDEX(ReportAssetWeightsAdverse,ROW()-ROW(T$120),1):INDEX(ReportAssetWeightsAdverse,ROW()-ROW(T$120),NumberOfAssets),INT(INDEX(tblAssetMenuSpecs[Is Real Estate US],1):(INDEX(tblAssetMenuSpecs[Is Real Estate US],NumberOfAssets))))</f>
        <v>0</v>
      </c>
      <c r="U133" s="280">
        <f>MMULT(INDEX(ReportAssetWeightsAdverse,ROW()-ROW(U$120),1):INDEX(ReportAssetWeightsAdverse,ROW()-ROW(U$120),NumberOfAssets),INT(INDEX(tblAssetMenuSpecs[Is Real Estate Other Developed Markets],1):(INDEX(tblAssetMenuSpecs[Is Real Estate Other Developed Markets],NumberOfAssets))))</f>
        <v>0</v>
      </c>
      <c r="V133" s="280">
        <f>MMULT(INDEX(ReportAssetWeightsAdverse,ROW()-ROW(V$120),1):INDEX(ReportAssetWeightsAdverse,ROW()-ROW(V$120),NumberOfAssets),INT(INDEX(tblAssetMenuSpecs[Is Real Estate Commercial EU (non-leveraged)],1):(INDEX(tblAssetMenuSpecs[Is Real Estate Commercial EU (non-leveraged)],NumberOfAssets))))</f>
        <v>0</v>
      </c>
      <c r="W133" s="280">
        <f>MMULT(INDEX(ReportAssetWeightsAdverse,ROW()-ROW(W$120),1):INDEX(ReportAssetWeightsAdverse,ROW()-ROW(W$120),NumberOfAssets),INT(INDEX(tblAssetMenuSpecs[Is Real Estate Residential EU (non-leveraged)],1):(INDEX(tblAssetMenuSpecs[Is Real Estate Residential EU (non-leveraged)],NumberOfAssets))))</f>
        <v>0</v>
      </c>
      <c r="X133" s="280">
        <f>MMULT(INDEX(ReportAssetWeightsAdverse,ROW()-ROW(X$120),1):INDEX(ReportAssetWeightsAdverse,ROW()-ROW(X$120),NumberOfAssets),INT(INDEX(tblAssetMenuSpecs[Is Government Bond EU],1):(INDEX(tblAssetMenuSpecs[Is Government Bond EU],NumberOfAssets))))</f>
        <v>0</v>
      </c>
      <c r="Y133" s="280">
        <f>MMULT(INDEX(ReportAssetWeightsAdverse,ROW()-ROW(Y$120),1):INDEX(ReportAssetWeightsAdverse,ROW()-ROW(Y$120),NumberOfAssets),INT(INDEX(tblAssetMenuSpecs[Is Government Bond US],1):(INDEX(tblAssetMenuSpecs[Is Government Bond US],NumberOfAssets))))</f>
        <v>0</v>
      </c>
      <c r="Z133" s="280">
        <f>MMULT(INDEX(ReportAssetWeightsAdverse,ROW()-ROW(Z$120),1):INDEX(ReportAssetWeightsAdverse,ROW()-ROW(Z$120),NumberOfAssets),INT(INDEX(tblAssetMenuSpecs[Is Government Bond Other Developed Markets],1):(INDEX(tblAssetMenuSpecs[Is Government Bond Other Developed Markets],NumberOfAssets))))</f>
        <v>0</v>
      </c>
      <c r="AA133" s="280">
        <f>MMULT(INDEX(ReportAssetWeightsAdverse,ROW()-ROW(AA$120),1):INDEX(ReportAssetWeightsAdverse,ROW()-ROW(AA$120),NumberOfAssets),INT(INDEX(tblAssetMenuSpecs[Is Government Bond Emerging Markets],1):(INDEX(tblAssetMenuSpecs[Is Government Bond Emerging Markets],NumberOfAssets))))</f>
        <v>0</v>
      </c>
      <c r="AB133" s="280">
        <f>MMULT(INDEX(ReportAssetWeightsAdverse,ROW()-ROW(AB$120),1):INDEX(ReportAssetWeightsAdverse,ROW()-ROW(AB$120),NumberOfAssets),INT(INDEX(tblAssetMenuSpecs[Is Corporate Bond],1):(INDEX(tblAssetMenuSpecs[Is Corporate Bond],NumberOfAssets))))</f>
        <v>0</v>
      </c>
      <c r="AC133" s="280">
        <f>MMULT(INDEX(ReportAssetWeightsAdverse,ROW()-ROW(AC$120),1):INDEX(ReportAssetWeightsAdverse,ROW()-ROW(AC$120),NumberOfAssets),INT(INDEX(tblAssetMenuSpecs[Is Corporate Bond Non-Financial],1):(INDEX(tblAssetMenuSpecs[Is Corporate Bond Non-Financial],NumberOfAssets))))</f>
        <v>0</v>
      </c>
      <c r="AD133" s="280">
        <f>MMULT(INDEX(ReportAssetWeightsAdverse,ROW()-ROW(AD$120),1):INDEX(ReportAssetWeightsAdverse,ROW()-ROW(AD$120),NumberOfAssets),INT(INDEX(tblAssetMenuSpecs[Is Corporate Bond Financial],1):(INDEX(tblAssetMenuSpecs[Is Corporate Bond Financial],NumberOfAssets))))</f>
        <v>0</v>
      </c>
      <c r="AE133" s="280">
        <f>MMULT(INDEX(ReportAssetWeightsAdverse,ROW()-ROW(AE$120),1):INDEX(ReportAssetWeightsAdverse,ROW()-ROW(AE$120),NumberOfAssets),INT(INDEX(tblAssetMenuSpecs[Is Cash and Deposits],1):(INDEX(tblAssetMenuSpecs[Is Cash and Deposits],NumberOfAssets))))</f>
        <v>1</v>
      </c>
    </row>
    <row r="134" spans="6:31" x14ac:dyDescent="0.25">
      <c r="F134" s="278">
        <f t="shared" si="1"/>
        <v>7</v>
      </c>
      <c r="G134" s="279">
        <f>MMULT(INDEX(ReportAssetWeightsAdverse,ROW()-ROW(G$120),1):INDEX(ReportAssetWeightsAdverse,ROW()-ROW(G$120),NumberOfAssets),INT(INDEX(tblAssetMenuSpecs[IsEquities],1):(INDEX(tblAssetMenuSpecs[IsEquities],NumberOfAssets))))</f>
        <v>0</v>
      </c>
      <c r="H134" s="279">
        <f>MMULT(INDEX(ReportAssetWeightsAdverse,ROW()-ROW(H$120),1):INDEX(ReportAssetWeightsAdverse,ROW()-ROW(H$120),NumberOfAssets),INT(INDEX(tblAssetMenuSpecs[IsRealEstate],1):(INDEX(tblAssetMenuSpecs[IsRealEstate],NumberOfAssets))))</f>
        <v>0</v>
      </c>
      <c r="I134" s="279">
        <f>MMULT(INDEX(ReportAssetWeightsAdverse,ROW()-ROW(I$120),1):INDEX(ReportAssetWeightsAdverse,ROW()-ROW(I$120),NumberOfAssets),INT(INDEX(tblAssetMenuSpecs[IsAlternatives],1):(INDEX(tblAssetMenuSpecs[IsAlternatives],NumberOfAssets))))</f>
        <v>0</v>
      </c>
      <c r="J134" s="279">
        <f>MMULT(INDEX(ReportAssetWeightsAdverse,ROW()-ROW(J$120),1):INDEX(ReportAssetWeightsAdverse,ROW()-ROW(J$120),NumberOfAssets),INT(INDEX(tblAssetMenuSpecs[IsFixedIncome],1):(INDEX(tblAssetMenuSpecs[IsFixedIncome],NumberOfAssets))))</f>
        <v>1</v>
      </c>
      <c r="L134" s="280">
        <f>MMULT(INDEX(ReportAssetWeightsAdverse,ROW()-ROW(L$120),1):INDEX(ReportAssetWeightsAdverse,ROW()-ROW(L$120),NumberOfAssets),INT(INDEX(tblAssetMenuSpecs[Is Equities EU],1):(INDEX(tblAssetMenuSpecs[Is Equities EU],NumberOfAssets))))</f>
        <v>0</v>
      </c>
      <c r="M134" s="280">
        <f>MMULT(INDEX(ReportAssetWeightsAdverse,ROW()-ROW(M$120),1):INDEX(ReportAssetWeightsAdverse,ROW()-ROW(M$120),NumberOfAssets),INT(INDEX(tblAssetMenuSpecs[Is Equities US],1):(INDEX(tblAssetMenuSpecs[Is Equities US],NumberOfAssets))))</f>
        <v>0</v>
      </c>
      <c r="N134" s="280">
        <f>MMULT(INDEX(ReportAssetWeightsAdverse,ROW()-ROW(N$120),1):INDEX(ReportAssetWeightsAdverse,ROW()-ROW(N$120),NumberOfAssets),INT(INDEX(tblAssetMenuSpecs[Is Equities Other Developed Markets],1):(INDEX(tblAssetMenuSpecs[Is Equities Other Developed Markets],NumberOfAssets))))</f>
        <v>0</v>
      </c>
      <c r="O134" s="280">
        <f>MMULT(INDEX(ReportAssetWeightsAdverse,ROW()-ROW(O$120),1):INDEX(ReportAssetWeightsAdverse,ROW()-ROW(O$120),NumberOfAssets),INT(INDEX(tblAssetMenuSpecs[Is Equities Emerging Markets],1):(INDEX(tblAssetMenuSpecs[Is Equities Emerging Markets],NumberOfAssets))))</f>
        <v>0</v>
      </c>
      <c r="P134" s="280">
        <f>MMULT(INDEX(ReportAssetWeightsAdverse,ROW()-ROW(P$120),1):INDEX(ReportAssetWeightsAdverse,ROW()-ROW(P$120),NumberOfAssets),INT(INDEX(tblAssetMenuSpecs[Is Commodities],1):(INDEX(tblAssetMenuSpecs[Is Commodities],NumberOfAssets))))</f>
        <v>0</v>
      </c>
      <c r="Q134" s="280">
        <f>MMULT(INDEX(ReportAssetWeightsAdverse,ROW()-ROW(Q$120),1):INDEX(ReportAssetWeightsAdverse,ROW()-ROW(Q$120),NumberOfAssets),INT(INDEX(tblAssetMenuSpecs[Is Private Equity],1):(INDEX(tblAssetMenuSpecs[Is Private Equity],NumberOfAssets))))</f>
        <v>0</v>
      </c>
      <c r="R134" s="280">
        <f>MMULT(INDEX(ReportAssetWeightsAdverse,ROW()-ROW(R$120),1):INDEX(ReportAssetWeightsAdverse,ROW()-ROW(R$120),NumberOfAssets),INT(INDEX(tblAssetMenuSpecs[Is Hedge Funds],1):(INDEX(tblAssetMenuSpecs[Is Hedge Funds],NumberOfAssets))))</f>
        <v>0</v>
      </c>
      <c r="S134" s="280">
        <f>MMULT(INDEX(ReportAssetWeightsAdverse,ROW()-ROW(S$120),1):INDEX(ReportAssetWeightsAdverse,ROW()-ROW(S$120),NumberOfAssets),INT(INDEX(tblAssetMenuSpecs[Is Real Estate EU],1):(INDEX(tblAssetMenuSpecs[Is Real Estate EU],NumberOfAssets))))</f>
        <v>0</v>
      </c>
      <c r="T134" s="280">
        <f>MMULT(INDEX(ReportAssetWeightsAdverse,ROW()-ROW(T$120),1):INDEX(ReportAssetWeightsAdverse,ROW()-ROW(T$120),NumberOfAssets),INT(INDEX(tblAssetMenuSpecs[Is Real Estate US],1):(INDEX(tblAssetMenuSpecs[Is Real Estate US],NumberOfAssets))))</f>
        <v>0</v>
      </c>
      <c r="U134" s="280">
        <f>MMULT(INDEX(ReportAssetWeightsAdverse,ROW()-ROW(U$120),1):INDEX(ReportAssetWeightsAdverse,ROW()-ROW(U$120),NumberOfAssets),INT(INDEX(tblAssetMenuSpecs[Is Real Estate Other Developed Markets],1):(INDEX(tblAssetMenuSpecs[Is Real Estate Other Developed Markets],NumberOfAssets))))</f>
        <v>0</v>
      </c>
      <c r="V134" s="280">
        <f>MMULT(INDEX(ReportAssetWeightsAdverse,ROW()-ROW(V$120),1):INDEX(ReportAssetWeightsAdverse,ROW()-ROW(V$120),NumberOfAssets),INT(INDEX(tblAssetMenuSpecs[Is Real Estate Commercial EU (non-leveraged)],1):(INDEX(tblAssetMenuSpecs[Is Real Estate Commercial EU (non-leveraged)],NumberOfAssets))))</f>
        <v>0</v>
      </c>
      <c r="W134" s="280">
        <f>MMULT(INDEX(ReportAssetWeightsAdverse,ROW()-ROW(W$120),1):INDEX(ReportAssetWeightsAdverse,ROW()-ROW(W$120),NumberOfAssets),INT(INDEX(tblAssetMenuSpecs[Is Real Estate Residential EU (non-leveraged)],1):(INDEX(tblAssetMenuSpecs[Is Real Estate Residential EU (non-leveraged)],NumberOfAssets))))</f>
        <v>0</v>
      </c>
      <c r="X134" s="280">
        <f>MMULT(INDEX(ReportAssetWeightsAdverse,ROW()-ROW(X$120),1):INDEX(ReportAssetWeightsAdverse,ROW()-ROW(X$120),NumberOfAssets),INT(INDEX(tblAssetMenuSpecs[Is Government Bond EU],1):(INDEX(tblAssetMenuSpecs[Is Government Bond EU],NumberOfAssets))))</f>
        <v>0</v>
      </c>
      <c r="Y134" s="280">
        <f>MMULT(INDEX(ReportAssetWeightsAdverse,ROW()-ROW(Y$120),1):INDEX(ReportAssetWeightsAdverse,ROW()-ROW(Y$120),NumberOfAssets),INT(INDEX(tblAssetMenuSpecs[Is Government Bond US],1):(INDEX(tblAssetMenuSpecs[Is Government Bond US],NumberOfAssets))))</f>
        <v>0</v>
      </c>
      <c r="Z134" s="280">
        <f>MMULT(INDEX(ReportAssetWeightsAdverse,ROW()-ROW(Z$120),1):INDEX(ReportAssetWeightsAdverse,ROW()-ROW(Z$120),NumberOfAssets),INT(INDEX(tblAssetMenuSpecs[Is Government Bond Other Developed Markets],1):(INDEX(tblAssetMenuSpecs[Is Government Bond Other Developed Markets],NumberOfAssets))))</f>
        <v>0</v>
      </c>
      <c r="AA134" s="280">
        <f>MMULT(INDEX(ReportAssetWeightsAdverse,ROW()-ROW(AA$120),1):INDEX(ReportAssetWeightsAdverse,ROW()-ROW(AA$120),NumberOfAssets),INT(INDEX(tblAssetMenuSpecs[Is Government Bond Emerging Markets],1):(INDEX(tblAssetMenuSpecs[Is Government Bond Emerging Markets],NumberOfAssets))))</f>
        <v>0</v>
      </c>
      <c r="AB134" s="280">
        <f>MMULT(INDEX(ReportAssetWeightsAdverse,ROW()-ROW(AB$120),1):INDEX(ReportAssetWeightsAdverse,ROW()-ROW(AB$120),NumberOfAssets),INT(INDEX(tblAssetMenuSpecs[Is Corporate Bond],1):(INDEX(tblAssetMenuSpecs[Is Corporate Bond],NumberOfAssets))))</f>
        <v>0</v>
      </c>
      <c r="AC134" s="280">
        <f>MMULT(INDEX(ReportAssetWeightsAdverse,ROW()-ROW(AC$120),1):INDEX(ReportAssetWeightsAdverse,ROW()-ROW(AC$120),NumberOfAssets),INT(INDEX(tblAssetMenuSpecs[Is Corporate Bond Non-Financial],1):(INDEX(tblAssetMenuSpecs[Is Corporate Bond Non-Financial],NumberOfAssets))))</f>
        <v>0</v>
      </c>
      <c r="AD134" s="280">
        <f>MMULT(INDEX(ReportAssetWeightsAdverse,ROW()-ROW(AD$120),1):INDEX(ReportAssetWeightsAdverse,ROW()-ROW(AD$120),NumberOfAssets),INT(INDEX(tblAssetMenuSpecs[Is Corporate Bond Financial],1):(INDEX(tblAssetMenuSpecs[Is Corporate Bond Financial],NumberOfAssets))))</f>
        <v>0</v>
      </c>
      <c r="AE134" s="280">
        <f>MMULT(INDEX(ReportAssetWeightsAdverse,ROW()-ROW(AE$120),1):INDEX(ReportAssetWeightsAdverse,ROW()-ROW(AE$120),NumberOfAssets),INT(INDEX(tblAssetMenuSpecs[Is Cash and Deposits],1):(INDEX(tblAssetMenuSpecs[Is Cash and Deposits],NumberOfAssets))))</f>
        <v>1</v>
      </c>
    </row>
    <row r="135" spans="6:31" x14ac:dyDescent="0.25">
      <c r="F135" s="278">
        <f t="shared" si="1"/>
        <v>6</v>
      </c>
      <c r="G135" s="279">
        <f>MMULT(INDEX(ReportAssetWeightsAdverse,ROW()-ROW(G$120),1):INDEX(ReportAssetWeightsAdverse,ROW()-ROW(G$120),NumberOfAssets),INT(INDEX(tblAssetMenuSpecs[IsEquities],1):(INDEX(tblAssetMenuSpecs[IsEquities],NumberOfAssets))))</f>
        <v>0</v>
      </c>
      <c r="H135" s="279">
        <f>MMULT(INDEX(ReportAssetWeightsAdverse,ROW()-ROW(H$120),1):INDEX(ReportAssetWeightsAdverse,ROW()-ROW(H$120),NumberOfAssets),INT(INDEX(tblAssetMenuSpecs[IsRealEstate],1):(INDEX(tblAssetMenuSpecs[IsRealEstate],NumberOfAssets))))</f>
        <v>0</v>
      </c>
      <c r="I135" s="279">
        <f>MMULT(INDEX(ReportAssetWeightsAdverse,ROW()-ROW(I$120),1):INDEX(ReportAssetWeightsAdverse,ROW()-ROW(I$120),NumberOfAssets),INT(INDEX(tblAssetMenuSpecs[IsAlternatives],1):(INDEX(tblAssetMenuSpecs[IsAlternatives],NumberOfAssets))))</f>
        <v>0</v>
      </c>
      <c r="J135" s="279">
        <f>MMULT(INDEX(ReportAssetWeightsAdverse,ROW()-ROW(J$120),1):INDEX(ReportAssetWeightsAdverse,ROW()-ROW(J$120),NumberOfAssets),INT(INDEX(tblAssetMenuSpecs[IsFixedIncome],1):(INDEX(tblAssetMenuSpecs[IsFixedIncome],NumberOfAssets))))</f>
        <v>1</v>
      </c>
      <c r="L135" s="280">
        <f>MMULT(INDEX(ReportAssetWeightsAdverse,ROW()-ROW(L$120),1):INDEX(ReportAssetWeightsAdverse,ROW()-ROW(L$120),NumberOfAssets),INT(INDEX(tblAssetMenuSpecs[Is Equities EU],1):(INDEX(tblAssetMenuSpecs[Is Equities EU],NumberOfAssets))))</f>
        <v>0</v>
      </c>
      <c r="M135" s="280">
        <f>MMULT(INDEX(ReportAssetWeightsAdverse,ROW()-ROW(M$120),1):INDEX(ReportAssetWeightsAdverse,ROW()-ROW(M$120),NumberOfAssets),INT(INDEX(tblAssetMenuSpecs[Is Equities US],1):(INDEX(tblAssetMenuSpecs[Is Equities US],NumberOfAssets))))</f>
        <v>0</v>
      </c>
      <c r="N135" s="280">
        <f>MMULT(INDEX(ReportAssetWeightsAdverse,ROW()-ROW(N$120),1):INDEX(ReportAssetWeightsAdverse,ROW()-ROW(N$120),NumberOfAssets),INT(INDEX(tblAssetMenuSpecs[Is Equities Other Developed Markets],1):(INDEX(tblAssetMenuSpecs[Is Equities Other Developed Markets],NumberOfAssets))))</f>
        <v>0</v>
      </c>
      <c r="O135" s="280">
        <f>MMULT(INDEX(ReportAssetWeightsAdverse,ROW()-ROW(O$120),1):INDEX(ReportAssetWeightsAdverse,ROW()-ROW(O$120),NumberOfAssets),INT(INDEX(tblAssetMenuSpecs[Is Equities Emerging Markets],1):(INDEX(tblAssetMenuSpecs[Is Equities Emerging Markets],NumberOfAssets))))</f>
        <v>0</v>
      </c>
      <c r="P135" s="280">
        <f>MMULT(INDEX(ReportAssetWeightsAdverse,ROW()-ROW(P$120),1):INDEX(ReportAssetWeightsAdverse,ROW()-ROW(P$120),NumberOfAssets),INT(INDEX(tblAssetMenuSpecs[Is Commodities],1):(INDEX(tblAssetMenuSpecs[Is Commodities],NumberOfAssets))))</f>
        <v>0</v>
      </c>
      <c r="Q135" s="280">
        <f>MMULT(INDEX(ReportAssetWeightsAdverse,ROW()-ROW(Q$120),1):INDEX(ReportAssetWeightsAdverse,ROW()-ROW(Q$120),NumberOfAssets),INT(INDEX(tblAssetMenuSpecs[Is Private Equity],1):(INDEX(tblAssetMenuSpecs[Is Private Equity],NumberOfAssets))))</f>
        <v>0</v>
      </c>
      <c r="R135" s="280">
        <f>MMULT(INDEX(ReportAssetWeightsAdverse,ROW()-ROW(R$120),1):INDEX(ReportAssetWeightsAdverse,ROW()-ROW(R$120),NumberOfAssets),INT(INDEX(tblAssetMenuSpecs[Is Hedge Funds],1):(INDEX(tblAssetMenuSpecs[Is Hedge Funds],NumberOfAssets))))</f>
        <v>0</v>
      </c>
      <c r="S135" s="280">
        <f>MMULT(INDEX(ReportAssetWeightsAdverse,ROW()-ROW(S$120),1):INDEX(ReportAssetWeightsAdverse,ROW()-ROW(S$120),NumberOfAssets),INT(INDEX(tblAssetMenuSpecs[Is Real Estate EU],1):(INDEX(tblAssetMenuSpecs[Is Real Estate EU],NumberOfAssets))))</f>
        <v>0</v>
      </c>
      <c r="T135" s="280">
        <f>MMULT(INDEX(ReportAssetWeightsAdverse,ROW()-ROW(T$120),1):INDEX(ReportAssetWeightsAdverse,ROW()-ROW(T$120),NumberOfAssets),INT(INDEX(tblAssetMenuSpecs[Is Real Estate US],1):(INDEX(tblAssetMenuSpecs[Is Real Estate US],NumberOfAssets))))</f>
        <v>0</v>
      </c>
      <c r="U135" s="280">
        <f>MMULT(INDEX(ReportAssetWeightsAdverse,ROW()-ROW(U$120),1):INDEX(ReportAssetWeightsAdverse,ROW()-ROW(U$120),NumberOfAssets),INT(INDEX(tblAssetMenuSpecs[Is Real Estate Other Developed Markets],1):(INDEX(tblAssetMenuSpecs[Is Real Estate Other Developed Markets],NumberOfAssets))))</f>
        <v>0</v>
      </c>
      <c r="V135" s="280">
        <f>MMULT(INDEX(ReportAssetWeightsAdverse,ROW()-ROW(V$120),1):INDEX(ReportAssetWeightsAdverse,ROW()-ROW(V$120),NumberOfAssets),INT(INDEX(tblAssetMenuSpecs[Is Real Estate Commercial EU (non-leveraged)],1):(INDEX(tblAssetMenuSpecs[Is Real Estate Commercial EU (non-leveraged)],NumberOfAssets))))</f>
        <v>0</v>
      </c>
      <c r="W135" s="280">
        <f>MMULT(INDEX(ReportAssetWeightsAdverse,ROW()-ROW(W$120),1):INDEX(ReportAssetWeightsAdverse,ROW()-ROW(W$120),NumberOfAssets),INT(INDEX(tblAssetMenuSpecs[Is Real Estate Residential EU (non-leveraged)],1):(INDEX(tblAssetMenuSpecs[Is Real Estate Residential EU (non-leveraged)],NumberOfAssets))))</f>
        <v>0</v>
      </c>
      <c r="X135" s="280">
        <f>MMULT(INDEX(ReportAssetWeightsAdverse,ROW()-ROW(X$120),1):INDEX(ReportAssetWeightsAdverse,ROW()-ROW(X$120),NumberOfAssets),INT(INDEX(tblAssetMenuSpecs[Is Government Bond EU],1):(INDEX(tblAssetMenuSpecs[Is Government Bond EU],NumberOfAssets))))</f>
        <v>0</v>
      </c>
      <c r="Y135" s="280">
        <f>MMULT(INDEX(ReportAssetWeightsAdverse,ROW()-ROW(Y$120),1):INDEX(ReportAssetWeightsAdverse,ROW()-ROW(Y$120),NumberOfAssets),INT(INDEX(tblAssetMenuSpecs[Is Government Bond US],1):(INDEX(tblAssetMenuSpecs[Is Government Bond US],NumberOfAssets))))</f>
        <v>0</v>
      </c>
      <c r="Z135" s="280">
        <f>MMULT(INDEX(ReportAssetWeightsAdverse,ROW()-ROW(Z$120),1):INDEX(ReportAssetWeightsAdverse,ROW()-ROW(Z$120),NumberOfAssets),INT(INDEX(tblAssetMenuSpecs[Is Government Bond Other Developed Markets],1):(INDEX(tblAssetMenuSpecs[Is Government Bond Other Developed Markets],NumberOfAssets))))</f>
        <v>0</v>
      </c>
      <c r="AA135" s="280">
        <f>MMULT(INDEX(ReportAssetWeightsAdverse,ROW()-ROW(AA$120),1):INDEX(ReportAssetWeightsAdverse,ROW()-ROW(AA$120),NumberOfAssets),INT(INDEX(tblAssetMenuSpecs[Is Government Bond Emerging Markets],1):(INDEX(tblAssetMenuSpecs[Is Government Bond Emerging Markets],NumberOfAssets))))</f>
        <v>0</v>
      </c>
      <c r="AB135" s="280">
        <f>MMULT(INDEX(ReportAssetWeightsAdverse,ROW()-ROW(AB$120),1):INDEX(ReportAssetWeightsAdverse,ROW()-ROW(AB$120),NumberOfAssets),INT(INDEX(tblAssetMenuSpecs[Is Corporate Bond],1):(INDEX(tblAssetMenuSpecs[Is Corporate Bond],NumberOfAssets))))</f>
        <v>0</v>
      </c>
      <c r="AC135" s="280">
        <f>MMULT(INDEX(ReportAssetWeightsAdverse,ROW()-ROW(AC$120),1):INDEX(ReportAssetWeightsAdverse,ROW()-ROW(AC$120),NumberOfAssets),INT(INDEX(tblAssetMenuSpecs[Is Corporate Bond Non-Financial],1):(INDEX(tblAssetMenuSpecs[Is Corporate Bond Non-Financial],NumberOfAssets))))</f>
        <v>0</v>
      </c>
      <c r="AD135" s="280">
        <f>MMULT(INDEX(ReportAssetWeightsAdverse,ROW()-ROW(AD$120),1):INDEX(ReportAssetWeightsAdverse,ROW()-ROW(AD$120),NumberOfAssets),INT(INDEX(tblAssetMenuSpecs[Is Corporate Bond Financial],1):(INDEX(tblAssetMenuSpecs[Is Corporate Bond Financial],NumberOfAssets))))</f>
        <v>0</v>
      </c>
      <c r="AE135" s="280">
        <f>MMULT(INDEX(ReportAssetWeightsAdverse,ROW()-ROW(AE$120),1):INDEX(ReportAssetWeightsAdverse,ROW()-ROW(AE$120),NumberOfAssets),INT(INDEX(tblAssetMenuSpecs[Is Cash and Deposits],1):(INDEX(tblAssetMenuSpecs[Is Cash and Deposits],NumberOfAssets))))</f>
        <v>1</v>
      </c>
    </row>
    <row r="136" spans="6:31" x14ac:dyDescent="0.25">
      <c r="F136" s="278">
        <f t="shared" si="1"/>
        <v>5</v>
      </c>
      <c r="G136" s="279">
        <f>MMULT(INDEX(ReportAssetWeightsAdverse,ROW()-ROW(G$120),1):INDEX(ReportAssetWeightsAdverse,ROW()-ROW(G$120),NumberOfAssets),INT(INDEX(tblAssetMenuSpecs[IsEquities],1):(INDEX(tblAssetMenuSpecs[IsEquities],NumberOfAssets))))</f>
        <v>0</v>
      </c>
      <c r="H136" s="279">
        <f>MMULT(INDEX(ReportAssetWeightsAdverse,ROW()-ROW(H$120),1):INDEX(ReportAssetWeightsAdverse,ROW()-ROW(H$120),NumberOfAssets),INT(INDEX(tblAssetMenuSpecs[IsRealEstate],1):(INDEX(tblAssetMenuSpecs[IsRealEstate],NumberOfAssets))))</f>
        <v>0</v>
      </c>
      <c r="I136" s="279">
        <f>MMULT(INDEX(ReportAssetWeightsAdverse,ROW()-ROW(I$120),1):INDEX(ReportAssetWeightsAdverse,ROW()-ROW(I$120),NumberOfAssets),INT(INDEX(tblAssetMenuSpecs[IsAlternatives],1):(INDEX(tblAssetMenuSpecs[IsAlternatives],NumberOfAssets))))</f>
        <v>0</v>
      </c>
      <c r="J136" s="279">
        <f>MMULT(INDEX(ReportAssetWeightsAdverse,ROW()-ROW(J$120),1):INDEX(ReportAssetWeightsAdverse,ROW()-ROW(J$120),NumberOfAssets),INT(INDEX(tblAssetMenuSpecs[IsFixedIncome],1):(INDEX(tblAssetMenuSpecs[IsFixedIncome],NumberOfAssets))))</f>
        <v>1</v>
      </c>
      <c r="L136" s="280">
        <f>MMULT(INDEX(ReportAssetWeightsAdverse,ROW()-ROW(L$120),1):INDEX(ReportAssetWeightsAdverse,ROW()-ROW(L$120),NumberOfAssets),INT(INDEX(tblAssetMenuSpecs[Is Equities EU],1):(INDEX(tblAssetMenuSpecs[Is Equities EU],NumberOfAssets))))</f>
        <v>0</v>
      </c>
      <c r="M136" s="280">
        <f>MMULT(INDEX(ReportAssetWeightsAdverse,ROW()-ROW(M$120),1):INDEX(ReportAssetWeightsAdverse,ROW()-ROW(M$120),NumberOfAssets),INT(INDEX(tblAssetMenuSpecs[Is Equities US],1):(INDEX(tblAssetMenuSpecs[Is Equities US],NumberOfAssets))))</f>
        <v>0</v>
      </c>
      <c r="N136" s="280">
        <f>MMULT(INDEX(ReportAssetWeightsAdverse,ROW()-ROW(N$120),1):INDEX(ReportAssetWeightsAdverse,ROW()-ROW(N$120),NumberOfAssets),INT(INDEX(tblAssetMenuSpecs[Is Equities Other Developed Markets],1):(INDEX(tblAssetMenuSpecs[Is Equities Other Developed Markets],NumberOfAssets))))</f>
        <v>0</v>
      </c>
      <c r="O136" s="280">
        <f>MMULT(INDEX(ReportAssetWeightsAdverse,ROW()-ROW(O$120),1):INDEX(ReportAssetWeightsAdverse,ROW()-ROW(O$120),NumberOfAssets),INT(INDEX(tblAssetMenuSpecs[Is Equities Emerging Markets],1):(INDEX(tblAssetMenuSpecs[Is Equities Emerging Markets],NumberOfAssets))))</f>
        <v>0</v>
      </c>
      <c r="P136" s="280">
        <f>MMULT(INDEX(ReportAssetWeightsAdverse,ROW()-ROW(P$120),1):INDEX(ReportAssetWeightsAdverse,ROW()-ROW(P$120),NumberOfAssets),INT(INDEX(tblAssetMenuSpecs[Is Commodities],1):(INDEX(tblAssetMenuSpecs[Is Commodities],NumberOfAssets))))</f>
        <v>0</v>
      </c>
      <c r="Q136" s="280">
        <f>MMULT(INDEX(ReportAssetWeightsAdverse,ROW()-ROW(Q$120),1):INDEX(ReportAssetWeightsAdverse,ROW()-ROW(Q$120),NumberOfAssets),INT(INDEX(tblAssetMenuSpecs[Is Private Equity],1):(INDEX(tblAssetMenuSpecs[Is Private Equity],NumberOfAssets))))</f>
        <v>0</v>
      </c>
      <c r="R136" s="280">
        <f>MMULT(INDEX(ReportAssetWeightsAdverse,ROW()-ROW(R$120),1):INDEX(ReportAssetWeightsAdverse,ROW()-ROW(R$120),NumberOfAssets),INT(INDEX(tblAssetMenuSpecs[Is Hedge Funds],1):(INDEX(tblAssetMenuSpecs[Is Hedge Funds],NumberOfAssets))))</f>
        <v>0</v>
      </c>
      <c r="S136" s="280">
        <f>MMULT(INDEX(ReportAssetWeightsAdverse,ROW()-ROW(S$120),1):INDEX(ReportAssetWeightsAdverse,ROW()-ROW(S$120),NumberOfAssets),INT(INDEX(tblAssetMenuSpecs[Is Real Estate EU],1):(INDEX(tblAssetMenuSpecs[Is Real Estate EU],NumberOfAssets))))</f>
        <v>0</v>
      </c>
      <c r="T136" s="280">
        <f>MMULT(INDEX(ReportAssetWeightsAdverse,ROW()-ROW(T$120),1):INDEX(ReportAssetWeightsAdverse,ROW()-ROW(T$120),NumberOfAssets),INT(INDEX(tblAssetMenuSpecs[Is Real Estate US],1):(INDEX(tblAssetMenuSpecs[Is Real Estate US],NumberOfAssets))))</f>
        <v>0</v>
      </c>
      <c r="U136" s="280">
        <f>MMULT(INDEX(ReportAssetWeightsAdverse,ROW()-ROW(U$120),1):INDEX(ReportAssetWeightsAdverse,ROW()-ROW(U$120),NumberOfAssets),INT(INDEX(tblAssetMenuSpecs[Is Real Estate Other Developed Markets],1):(INDEX(tblAssetMenuSpecs[Is Real Estate Other Developed Markets],NumberOfAssets))))</f>
        <v>0</v>
      </c>
      <c r="V136" s="280">
        <f>MMULT(INDEX(ReportAssetWeightsAdverse,ROW()-ROW(V$120),1):INDEX(ReportAssetWeightsAdverse,ROW()-ROW(V$120),NumberOfAssets),INT(INDEX(tblAssetMenuSpecs[Is Real Estate Commercial EU (non-leveraged)],1):(INDEX(tblAssetMenuSpecs[Is Real Estate Commercial EU (non-leveraged)],NumberOfAssets))))</f>
        <v>0</v>
      </c>
      <c r="W136" s="280">
        <f>MMULT(INDEX(ReportAssetWeightsAdverse,ROW()-ROW(W$120),1):INDEX(ReportAssetWeightsAdverse,ROW()-ROW(W$120),NumberOfAssets),INT(INDEX(tblAssetMenuSpecs[Is Real Estate Residential EU (non-leveraged)],1):(INDEX(tblAssetMenuSpecs[Is Real Estate Residential EU (non-leveraged)],NumberOfAssets))))</f>
        <v>0</v>
      </c>
      <c r="X136" s="280">
        <f>MMULT(INDEX(ReportAssetWeightsAdverse,ROW()-ROW(X$120),1):INDEX(ReportAssetWeightsAdverse,ROW()-ROW(X$120),NumberOfAssets),INT(INDEX(tblAssetMenuSpecs[Is Government Bond EU],1):(INDEX(tblAssetMenuSpecs[Is Government Bond EU],NumberOfAssets))))</f>
        <v>0</v>
      </c>
      <c r="Y136" s="280">
        <f>MMULT(INDEX(ReportAssetWeightsAdverse,ROW()-ROW(Y$120),1):INDEX(ReportAssetWeightsAdverse,ROW()-ROW(Y$120),NumberOfAssets),INT(INDEX(tblAssetMenuSpecs[Is Government Bond US],1):(INDEX(tblAssetMenuSpecs[Is Government Bond US],NumberOfAssets))))</f>
        <v>0</v>
      </c>
      <c r="Z136" s="280">
        <f>MMULT(INDEX(ReportAssetWeightsAdverse,ROW()-ROW(Z$120),1):INDEX(ReportAssetWeightsAdverse,ROW()-ROW(Z$120),NumberOfAssets),INT(INDEX(tblAssetMenuSpecs[Is Government Bond Other Developed Markets],1):(INDEX(tblAssetMenuSpecs[Is Government Bond Other Developed Markets],NumberOfAssets))))</f>
        <v>0</v>
      </c>
      <c r="AA136" s="280">
        <f>MMULT(INDEX(ReportAssetWeightsAdverse,ROW()-ROW(AA$120),1):INDEX(ReportAssetWeightsAdverse,ROW()-ROW(AA$120),NumberOfAssets),INT(INDEX(tblAssetMenuSpecs[Is Government Bond Emerging Markets],1):(INDEX(tblAssetMenuSpecs[Is Government Bond Emerging Markets],NumberOfAssets))))</f>
        <v>0</v>
      </c>
      <c r="AB136" s="280">
        <f>MMULT(INDEX(ReportAssetWeightsAdverse,ROW()-ROW(AB$120),1):INDEX(ReportAssetWeightsAdverse,ROW()-ROW(AB$120),NumberOfAssets),INT(INDEX(tblAssetMenuSpecs[Is Corporate Bond],1):(INDEX(tblAssetMenuSpecs[Is Corporate Bond],NumberOfAssets))))</f>
        <v>0</v>
      </c>
      <c r="AC136" s="280">
        <f>MMULT(INDEX(ReportAssetWeightsAdverse,ROW()-ROW(AC$120),1):INDEX(ReportAssetWeightsAdverse,ROW()-ROW(AC$120),NumberOfAssets),INT(INDEX(tblAssetMenuSpecs[Is Corporate Bond Non-Financial],1):(INDEX(tblAssetMenuSpecs[Is Corporate Bond Non-Financial],NumberOfAssets))))</f>
        <v>0</v>
      </c>
      <c r="AD136" s="280">
        <f>MMULT(INDEX(ReportAssetWeightsAdverse,ROW()-ROW(AD$120),1):INDEX(ReportAssetWeightsAdverse,ROW()-ROW(AD$120),NumberOfAssets),INT(INDEX(tblAssetMenuSpecs[Is Corporate Bond Financial],1):(INDEX(tblAssetMenuSpecs[Is Corporate Bond Financial],NumberOfAssets))))</f>
        <v>0</v>
      </c>
      <c r="AE136" s="280">
        <f>MMULT(INDEX(ReportAssetWeightsAdverse,ROW()-ROW(AE$120),1):INDEX(ReportAssetWeightsAdverse,ROW()-ROW(AE$120),NumberOfAssets),INT(INDEX(tblAssetMenuSpecs[Is Cash and Deposits],1):(INDEX(tblAssetMenuSpecs[Is Cash and Deposits],NumberOfAssets))))</f>
        <v>1</v>
      </c>
    </row>
    <row r="137" spans="6:31" x14ac:dyDescent="0.25">
      <c r="F137" s="278">
        <f t="shared" si="1"/>
        <v>4</v>
      </c>
      <c r="G137" s="279">
        <f>MMULT(INDEX(ReportAssetWeightsAdverse,ROW()-ROW(G$120),1):INDEX(ReportAssetWeightsAdverse,ROW()-ROW(G$120),NumberOfAssets),INT(INDEX(tblAssetMenuSpecs[IsEquities],1):(INDEX(tblAssetMenuSpecs[IsEquities],NumberOfAssets))))</f>
        <v>0</v>
      </c>
      <c r="H137" s="279">
        <f>MMULT(INDEX(ReportAssetWeightsAdverse,ROW()-ROW(H$120),1):INDEX(ReportAssetWeightsAdverse,ROW()-ROW(H$120),NumberOfAssets),INT(INDEX(tblAssetMenuSpecs[IsRealEstate],1):(INDEX(tblAssetMenuSpecs[IsRealEstate],NumberOfAssets))))</f>
        <v>0</v>
      </c>
      <c r="I137" s="279">
        <f>MMULT(INDEX(ReportAssetWeightsAdverse,ROW()-ROW(I$120),1):INDEX(ReportAssetWeightsAdverse,ROW()-ROW(I$120),NumberOfAssets),INT(INDEX(tblAssetMenuSpecs[IsAlternatives],1):(INDEX(tblAssetMenuSpecs[IsAlternatives],NumberOfAssets))))</f>
        <v>0</v>
      </c>
      <c r="J137" s="279">
        <f>MMULT(INDEX(ReportAssetWeightsAdverse,ROW()-ROW(J$120),1):INDEX(ReportAssetWeightsAdverse,ROW()-ROW(J$120),NumberOfAssets),INT(INDEX(tblAssetMenuSpecs[IsFixedIncome],1):(INDEX(tblAssetMenuSpecs[IsFixedIncome],NumberOfAssets))))</f>
        <v>1</v>
      </c>
      <c r="L137" s="280">
        <f>MMULT(INDEX(ReportAssetWeightsAdverse,ROW()-ROW(L$120),1):INDEX(ReportAssetWeightsAdverse,ROW()-ROW(L$120),NumberOfAssets),INT(INDEX(tblAssetMenuSpecs[Is Equities EU],1):(INDEX(tblAssetMenuSpecs[Is Equities EU],NumberOfAssets))))</f>
        <v>0</v>
      </c>
      <c r="M137" s="280">
        <f>MMULT(INDEX(ReportAssetWeightsAdverse,ROW()-ROW(M$120),1):INDEX(ReportAssetWeightsAdverse,ROW()-ROW(M$120),NumberOfAssets),INT(INDEX(tblAssetMenuSpecs[Is Equities US],1):(INDEX(tblAssetMenuSpecs[Is Equities US],NumberOfAssets))))</f>
        <v>0</v>
      </c>
      <c r="N137" s="280">
        <f>MMULT(INDEX(ReportAssetWeightsAdverse,ROW()-ROW(N$120),1):INDEX(ReportAssetWeightsAdverse,ROW()-ROW(N$120),NumberOfAssets),INT(INDEX(tblAssetMenuSpecs[Is Equities Other Developed Markets],1):(INDEX(tblAssetMenuSpecs[Is Equities Other Developed Markets],NumberOfAssets))))</f>
        <v>0</v>
      </c>
      <c r="O137" s="280">
        <f>MMULT(INDEX(ReportAssetWeightsAdverse,ROW()-ROW(O$120),1):INDEX(ReportAssetWeightsAdverse,ROW()-ROW(O$120),NumberOfAssets),INT(INDEX(tblAssetMenuSpecs[Is Equities Emerging Markets],1):(INDEX(tblAssetMenuSpecs[Is Equities Emerging Markets],NumberOfAssets))))</f>
        <v>0</v>
      </c>
      <c r="P137" s="280">
        <f>MMULT(INDEX(ReportAssetWeightsAdverse,ROW()-ROW(P$120),1):INDEX(ReportAssetWeightsAdverse,ROW()-ROW(P$120),NumberOfAssets),INT(INDEX(tblAssetMenuSpecs[Is Commodities],1):(INDEX(tblAssetMenuSpecs[Is Commodities],NumberOfAssets))))</f>
        <v>0</v>
      </c>
      <c r="Q137" s="280">
        <f>MMULT(INDEX(ReportAssetWeightsAdverse,ROW()-ROW(Q$120),1):INDEX(ReportAssetWeightsAdverse,ROW()-ROW(Q$120),NumberOfAssets),INT(INDEX(tblAssetMenuSpecs[Is Private Equity],1):(INDEX(tblAssetMenuSpecs[Is Private Equity],NumberOfAssets))))</f>
        <v>0</v>
      </c>
      <c r="R137" s="280">
        <f>MMULT(INDEX(ReportAssetWeightsAdverse,ROW()-ROW(R$120),1):INDEX(ReportAssetWeightsAdverse,ROW()-ROW(R$120),NumberOfAssets),INT(INDEX(tblAssetMenuSpecs[Is Hedge Funds],1):(INDEX(tblAssetMenuSpecs[Is Hedge Funds],NumberOfAssets))))</f>
        <v>0</v>
      </c>
      <c r="S137" s="280">
        <f>MMULT(INDEX(ReportAssetWeightsAdverse,ROW()-ROW(S$120),1):INDEX(ReportAssetWeightsAdverse,ROW()-ROW(S$120),NumberOfAssets),INT(INDEX(tblAssetMenuSpecs[Is Real Estate EU],1):(INDEX(tblAssetMenuSpecs[Is Real Estate EU],NumberOfAssets))))</f>
        <v>0</v>
      </c>
      <c r="T137" s="280">
        <f>MMULT(INDEX(ReportAssetWeightsAdverse,ROW()-ROW(T$120),1):INDEX(ReportAssetWeightsAdverse,ROW()-ROW(T$120),NumberOfAssets),INT(INDEX(tblAssetMenuSpecs[Is Real Estate US],1):(INDEX(tblAssetMenuSpecs[Is Real Estate US],NumberOfAssets))))</f>
        <v>0</v>
      </c>
      <c r="U137" s="280">
        <f>MMULT(INDEX(ReportAssetWeightsAdverse,ROW()-ROW(U$120),1):INDEX(ReportAssetWeightsAdverse,ROW()-ROW(U$120),NumberOfAssets),INT(INDEX(tblAssetMenuSpecs[Is Real Estate Other Developed Markets],1):(INDEX(tblAssetMenuSpecs[Is Real Estate Other Developed Markets],NumberOfAssets))))</f>
        <v>0</v>
      </c>
      <c r="V137" s="280">
        <f>MMULT(INDEX(ReportAssetWeightsAdverse,ROW()-ROW(V$120),1):INDEX(ReportAssetWeightsAdverse,ROW()-ROW(V$120),NumberOfAssets),INT(INDEX(tblAssetMenuSpecs[Is Real Estate Commercial EU (non-leveraged)],1):(INDEX(tblAssetMenuSpecs[Is Real Estate Commercial EU (non-leveraged)],NumberOfAssets))))</f>
        <v>0</v>
      </c>
      <c r="W137" s="280">
        <f>MMULT(INDEX(ReportAssetWeightsAdverse,ROW()-ROW(W$120),1):INDEX(ReportAssetWeightsAdverse,ROW()-ROW(W$120),NumberOfAssets),INT(INDEX(tblAssetMenuSpecs[Is Real Estate Residential EU (non-leveraged)],1):(INDEX(tblAssetMenuSpecs[Is Real Estate Residential EU (non-leveraged)],NumberOfAssets))))</f>
        <v>0</v>
      </c>
      <c r="X137" s="280">
        <f>MMULT(INDEX(ReportAssetWeightsAdverse,ROW()-ROW(X$120),1):INDEX(ReportAssetWeightsAdverse,ROW()-ROW(X$120),NumberOfAssets),INT(INDEX(tblAssetMenuSpecs[Is Government Bond EU],1):(INDEX(tblAssetMenuSpecs[Is Government Bond EU],NumberOfAssets))))</f>
        <v>0</v>
      </c>
      <c r="Y137" s="280">
        <f>MMULT(INDEX(ReportAssetWeightsAdverse,ROW()-ROW(Y$120),1):INDEX(ReportAssetWeightsAdverse,ROW()-ROW(Y$120),NumberOfAssets),INT(INDEX(tblAssetMenuSpecs[Is Government Bond US],1):(INDEX(tblAssetMenuSpecs[Is Government Bond US],NumberOfAssets))))</f>
        <v>0</v>
      </c>
      <c r="Z137" s="280">
        <f>MMULT(INDEX(ReportAssetWeightsAdverse,ROW()-ROW(Z$120),1):INDEX(ReportAssetWeightsAdverse,ROW()-ROW(Z$120),NumberOfAssets),INT(INDEX(tblAssetMenuSpecs[Is Government Bond Other Developed Markets],1):(INDEX(tblAssetMenuSpecs[Is Government Bond Other Developed Markets],NumberOfAssets))))</f>
        <v>0</v>
      </c>
      <c r="AA137" s="280">
        <f>MMULT(INDEX(ReportAssetWeightsAdverse,ROW()-ROW(AA$120),1):INDEX(ReportAssetWeightsAdverse,ROW()-ROW(AA$120),NumberOfAssets),INT(INDEX(tblAssetMenuSpecs[Is Government Bond Emerging Markets],1):(INDEX(tblAssetMenuSpecs[Is Government Bond Emerging Markets],NumberOfAssets))))</f>
        <v>0</v>
      </c>
      <c r="AB137" s="280">
        <f>MMULT(INDEX(ReportAssetWeightsAdverse,ROW()-ROW(AB$120),1):INDEX(ReportAssetWeightsAdverse,ROW()-ROW(AB$120),NumberOfAssets),INT(INDEX(tblAssetMenuSpecs[Is Corporate Bond],1):(INDEX(tblAssetMenuSpecs[Is Corporate Bond],NumberOfAssets))))</f>
        <v>0</v>
      </c>
      <c r="AC137" s="280">
        <f>MMULT(INDEX(ReportAssetWeightsAdverse,ROW()-ROW(AC$120),1):INDEX(ReportAssetWeightsAdverse,ROW()-ROW(AC$120),NumberOfAssets),INT(INDEX(tblAssetMenuSpecs[Is Corporate Bond Non-Financial],1):(INDEX(tblAssetMenuSpecs[Is Corporate Bond Non-Financial],NumberOfAssets))))</f>
        <v>0</v>
      </c>
      <c r="AD137" s="280">
        <f>MMULT(INDEX(ReportAssetWeightsAdverse,ROW()-ROW(AD$120),1):INDEX(ReportAssetWeightsAdverse,ROW()-ROW(AD$120),NumberOfAssets),INT(INDEX(tblAssetMenuSpecs[Is Corporate Bond Financial],1):(INDEX(tblAssetMenuSpecs[Is Corporate Bond Financial],NumberOfAssets))))</f>
        <v>0</v>
      </c>
      <c r="AE137" s="280">
        <f>MMULT(INDEX(ReportAssetWeightsAdverse,ROW()-ROW(AE$120),1):INDEX(ReportAssetWeightsAdverse,ROW()-ROW(AE$120),NumberOfAssets),INT(INDEX(tblAssetMenuSpecs[Is Cash and Deposits],1):(INDEX(tblAssetMenuSpecs[Is Cash and Deposits],NumberOfAssets))))</f>
        <v>1</v>
      </c>
    </row>
    <row r="138" spans="6:31" x14ac:dyDescent="0.25">
      <c r="F138" s="278">
        <f t="shared" si="1"/>
        <v>3</v>
      </c>
      <c r="G138" s="279">
        <f>MMULT(INDEX(ReportAssetWeightsAdverse,ROW()-ROW(G$120),1):INDEX(ReportAssetWeightsAdverse,ROW()-ROW(G$120),NumberOfAssets),INT(INDEX(tblAssetMenuSpecs[IsEquities],1):(INDEX(tblAssetMenuSpecs[IsEquities],NumberOfAssets))))</f>
        <v>0</v>
      </c>
      <c r="H138" s="279">
        <f>MMULT(INDEX(ReportAssetWeightsAdverse,ROW()-ROW(H$120),1):INDEX(ReportAssetWeightsAdverse,ROW()-ROW(H$120),NumberOfAssets),INT(INDEX(tblAssetMenuSpecs[IsRealEstate],1):(INDEX(tblAssetMenuSpecs[IsRealEstate],NumberOfAssets))))</f>
        <v>0</v>
      </c>
      <c r="I138" s="279">
        <f>MMULT(INDEX(ReportAssetWeightsAdverse,ROW()-ROW(I$120),1):INDEX(ReportAssetWeightsAdverse,ROW()-ROW(I$120),NumberOfAssets),INT(INDEX(tblAssetMenuSpecs[IsAlternatives],1):(INDEX(tblAssetMenuSpecs[IsAlternatives],NumberOfAssets))))</f>
        <v>0</v>
      </c>
      <c r="J138" s="279">
        <f>MMULT(INDEX(ReportAssetWeightsAdverse,ROW()-ROW(J$120),1):INDEX(ReportAssetWeightsAdverse,ROW()-ROW(J$120),NumberOfAssets),INT(INDEX(tblAssetMenuSpecs[IsFixedIncome],1):(INDEX(tblAssetMenuSpecs[IsFixedIncome],NumberOfAssets))))</f>
        <v>1</v>
      </c>
      <c r="L138" s="280">
        <f>MMULT(INDEX(ReportAssetWeightsAdverse,ROW()-ROW(L$120),1):INDEX(ReportAssetWeightsAdverse,ROW()-ROW(L$120),NumberOfAssets),INT(INDEX(tblAssetMenuSpecs[Is Equities EU],1):(INDEX(tblAssetMenuSpecs[Is Equities EU],NumberOfAssets))))</f>
        <v>0</v>
      </c>
      <c r="M138" s="280">
        <f>MMULT(INDEX(ReportAssetWeightsAdverse,ROW()-ROW(M$120),1):INDEX(ReportAssetWeightsAdverse,ROW()-ROW(M$120),NumberOfAssets),INT(INDEX(tblAssetMenuSpecs[Is Equities US],1):(INDEX(tblAssetMenuSpecs[Is Equities US],NumberOfAssets))))</f>
        <v>0</v>
      </c>
      <c r="N138" s="280">
        <f>MMULT(INDEX(ReportAssetWeightsAdverse,ROW()-ROW(N$120),1):INDEX(ReportAssetWeightsAdverse,ROW()-ROW(N$120),NumberOfAssets),INT(INDEX(tblAssetMenuSpecs[Is Equities Other Developed Markets],1):(INDEX(tblAssetMenuSpecs[Is Equities Other Developed Markets],NumberOfAssets))))</f>
        <v>0</v>
      </c>
      <c r="O138" s="280">
        <f>MMULT(INDEX(ReportAssetWeightsAdverse,ROW()-ROW(O$120),1):INDEX(ReportAssetWeightsAdverse,ROW()-ROW(O$120),NumberOfAssets),INT(INDEX(tblAssetMenuSpecs[Is Equities Emerging Markets],1):(INDEX(tblAssetMenuSpecs[Is Equities Emerging Markets],NumberOfAssets))))</f>
        <v>0</v>
      </c>
      <c r="P138" s="280">
        <f>MMULT(INDEX(ReportAssetWeightsAdverse,ROW()-ROW(P$120),1):INDEX(ReportAssetWeightsAdverse,ROW()-ROW(P$120),NumberOfAssets),INT(INDEX(tblAssetMenuSpecs[Is Commodities],1):(INDEX(tblAssetMenuSpecs[Is Commodities],NumberOfAssets))))</f>
        <v>0</v>
      </c>
      <c r="Q138" s="280">
        <f>MMULT(INDEX(ReportAssetWeightsAdverse,ROW()-ROW(Q$120),1):INDEX(ReportAssetWeightsAdverse,ROW()-ROW(Q$120),NumberOfAssets),INT(INDEX(tblAssetMenuSpecs[Is Private Equity],1):(INDEX(tblAssetMenuSpecs[Is Private Equity],NumberOfAssets))))</f>
        <v>0</v>
      </c>
      <c r="R138" s="280">
        <f>MMULT(INDEX(ReportAssetWeightsAdverse,ROW()-ROW(R$120),1):INDEX(ReportAssetWeightsAdverse,ROW()-ROW(R$120),NumberOfAssets),INT(INDEX(tblAssetMenuSpecs[Is Hedge Funds],1):(INDEX(tblAssetMenuSpecs[Is Hedge Funds],NumberOfAssets))))</f>
        <v>0</v>
      </c>
      <c r="S138" s="280">
        <f>MMULT(INDEX(ReportAssetWeightsAdverse,ROW()-ROW(S$120),1):INDEX(ReportAssetWeightsAdverse,ROW()-ROW(S$120),NumberOfAssets),INT(INDEX(tblAssetMenuSpecs[Is Real Estate EU],1):(INDEX(tblAssetMenuSpecs[Is Real Estate EU],NumberOfAssets))))</f>
        <v>0</v>
      </c>
      <c r="T138" s="280">
        <f>MMULT(INDEX(ReportAssetWeightsAdverse,ROW()-ROW(T$120),1):INDEX(ReportAssetWeightsAdverse,ROW()-ROW(T$120),NumberOfAssets),INT(INDEX(tblAssetMenuSpecs[Is Real Estate US],1):(INDEX(tblAssetMenuSpecs[Is Real Estate US],NumberOfAssets))))</f>
        <v>0</v>
      </c>
      <c r="U138" s="280">
        <f>MMULT(INDEX(ReportAssetWeightsAdverse,ROW()-ROW(U$120),1):INDEX(ReportAssetWeightsAdverse,ROW()-ROW(U$120),NumberOfAssets),INT(INDEX(tblAssetMenuSpecs[Is Real Estate Other Developed Markets],1):(INDEX(tblAssetMenuSpecs[Is Real Estate Other Developed Markets],NumberOfAssets))))</f>
        <v>0</v>
      </c>
      <c r="V138" s="280">
        <f>MMULT(INDEX(ReportAssetWeightsAdverse,ROW()-ROW(V$120),1):INDEX(ReportAssetWeightsAdverse,ROW()-ROW(V$120),NumberOfAssets),INT(INDEX(tblAssetMenuSpecs[Is Real Estate Commercial EU (non-leveraged)],1):(INDEX(tblAssetMenuSpecs[Is Real Estate Commercial EU (non-leveraged)],NumberOfAssets))))</f>
        <v>0</v>
      </c>
      <c r="W138" s="280">
        <f>MMULT(INDEX(ReportAssetWeightsAdverse,ROW()-ROW(W$120),1):INDEX(ReportAssetWeightsAdverse,ROW()-ROW(W$120),NumberOfAssets),INT(INDEX(tblAssetMenuSpecs[Is Real Estate Residential EU (non-leveraged)],1):(INDEX(tblAssetMenuSpecs[Is Real Estate Residential EU (non-leveraged)],NumberOfAssets))))</f>
        <v>0</v>
      </c>
      <c r="X138" s="280">
        <f>MMULT(INDEX(ReportAssetWeightsAdverse,ROW()-ROW(X$120),1):INDEX(ReportAssetWeightsAdverse,ROW()-ROW(X$120),NumberOfAssets),INT(INDEX(tblAssetMenuSpecs[Is Government Bond EU],1):(INDEX(tblAssetMenuSpecs[Is Government Bond EU],NumberOfAssets))))</f>
        <v>0</v>
      </c>
      <c r="Y138" s="280">
        <f>MMULT(INDEX(ReportAssetWeightsAdverse,ROW()-ROW(Y$120),1):INDEX(ReportAssetWeightsAdverse,ROW()-ROW(Y$120),NumberOfAssets),INT(INDEX(tblAssetMenuSpecs[Is Government Bond US],1):(INDEX(tblAssetMenuSpecs[Is Government Bond US],NumberOfAssets))))</f>
        <v>0</v>
      </c>
      <c r="Z138" s="280">
        <f>MMULT(INDEX(ReportAssetWeightsAdverse,ROW()-ROW(Z$120),1):INDEX(ReportAssetWeightsAdverse,ROW()-ROW(Z$120),NumberOfAssets),INT(INDEX(tblAssetMenuSpecs[Is Government Bond Other Developed Markets],1):(INDEX(tblAssetMenuSpecs[Is Government Bond Other Developed Markets],NumberOfAssets))))</f>
        <v>0</v>
      </c>
      <c r="AA138" s="280">
        <f>MMULT(INDEX(ReportAssetWeightsAdverse,ROW()-ROW(AA$120),1):INDEX(ReportAssetWeightsAdverse,ROW()-ROW(AA$120),NumberOfAssets),INT(INDEX(tblAssetMenuSpecs[Is Government Bond Emerging Markets],1):(INDEX(tblAssetMenuSpecs[Is Government Bond Emerging Markets],NumberOfAssets))))</f>
        <v>0</v>
      </c>
      <c r="AB138" s="280">
        <f>MMULT(INDEX(ReportAssetWeightsAdverse,ROW()-ROW(AB$120),1):INDEX(ReportAssetWeightsAdverse,ROW()-ROW(AB$120),NumberOfAssets),INT(INDEX(tblAssetMenuSpecs[Is Corporate Bond],1):(INDEX(tblAssetMenuSpecs[Is Corporate Bond],NumberOfAssets))))</f>
        <v>0</v>
      </c>
      <c r="AC138" s="280">
        <f>MMULT(INDEX(ReportAssetWeightsAdverse,ROW()-ROW(AC$120),1):INDEX(ReportAssetWeightsAdverse,ROW()-ROW(AC$120),NumberOfAssets),INT(INDEX(tblAssetMenuSpecs[Is Corporate Bond Non-Financial],1):(INDEX(tblAssetMenuSpecs[Is Corporate Bond Non-Financial],NumberOfAssets))))</f>
        <v>0</v>
      </c>
      <c r="AD138" s="280">
        <f>MMULT(INDEX(ReportAssetWeightsAdverse,ROW()-ROW(AD$120),1):INDEX(ReportAssetWeightsAdverse,ROW()-ROW(AD$120),NumberOfAssets),INT(INDEX(tblAssetMenuSpecs[Is Corporate Bond Financial],1):(INDEX(tblAssetMenuSpecs[Is Corporate Bond Financial],NumberOfAssets))))</f>
        <v>0</v>
      </c>
      <c r="AE138" s="280">
        <f>MMULT(INDEX(ReportAssetWeightsAdverse,ROW()-ROW(AE$120),1):INDEX(ReportAssetWeightsAdverse,ROW()-ROW(AE$120),NumberOfAssets),INT(INDEX(tblAssetMenuSpecs[Is Cash and Deposits],1):(INDEX(tblAssetMenuSpecs[Is Cash and Deposits],NumberOfAssets))))</f>
        <v>1</v>
      </c>
    </row>
    <row r="139" spans="6:31" x14ac:dyDescent="0.25">
      <c r="F139" s="278">
        <f t="shared" si="1"/>
        <v>2</v>
      </c>
      <c r="G139" s="279">
        <f>MMULT(INDEX(ReportAssetWeightsAdverse,ROW()-ROW(G$120),1):INDEX(ReportAssetWeightsAdverse,ROW()-ROW(G$120),NumberOfAssets),INT(INDEX(tblAssetMenuSpecs[IsEquities],1):(INDEX(tblAssetMenuSpecs[IsEquities],NumberOfAssets))))</f>
        <v>0</v>
      </c>
      <c r="H139" s="279">
        <f>MMULT(INDEX(ReportAssetWeightsAdverse,ROW()-ROW(H$120),1):INDEX(ReportAssetWeightsAdverse,ROW()-ROW(H$120),NumberOfAssets),INT(INDEX(tblAssetMenuSpecs[IsRealEstate],1):(INDEX(tblAssetMenuSpecs[IsRealEstate],NumberOfAssets))))</f>
        <v>0</v>
      </c>
      <c r="I139" s="279">
        <f>MMULT(INDEX(ReportAssetWeightsAdverse,ROW()-ROW(I$120),1):INDEX(ReportAssetWeightsAdverse,ROW()-ROW(I$120),NumberOfAssets),INT(INDEX(tblAssetMenuSpecs[IsAlternatives],1):(INDEX(tblAssetMenuSpecs[IsAlternatives],NumberOfAssets))))</f>
        <v>0</v>
      </c>
      <c r="J139" s="279">
        <f>MMULT(INDEX(ReportAssetWeightsAdverse,ROW()-ROW(J$120),1):INDEX(ReportAssetWeightsAdverse,ROW()-ROW(J$120),NumberOfAssets),INT(INDEX(tblAssetMenuSpecs[IsFixedIncome],1):(INDEX(tblAssetMenuSpecs[IsFixedIncome],NumberOfAssets))))</f>
        <v>1</v>
      </c>
      <c r="L139" s="280">
        <f>MMULT(INDEX(ReportAssetWeightsAdverse,ROW()-ROW(L$120),1):INDEX(ReportAssetWeightsAdverse,ROW()-ROW(L$120),NumberOfAssets),INT(INDEX(tblAssetMenuSpecs[Is Equities EU],1):(INDEX(tblAssetMenuSpecs[Is Equities EU],NumberOfAssets))))</f>
        <v>0</v>
      </c>
      <c r="M139" s="280">
        <f>MMULT(INDEX(ReportAssetWeightsAdverse,ROW()-ROW(M$120),1):INDEX(ReportAssetWeightsAdverse,ROW()-ROW(M$120),NumberOfAssets),INT(INDEX(tblAssetMenuSpecs[Is Equities US],1):(INDEX(tblAssetMenuSpecs[Is Equities US],NumberOfAssets))))</f>
        <v>0</v>
      </c>
      <c r="N139" s="280">
        <f>MMULT(INDEX(ReportAssetWeightsAdverse,ROW()-ROW(N$120),1):INDEX(ReportAssetWeightsAdverse,ROW()-ROW(N$120),NumberOfAssets),INT(INDEX(tblAssetMenuSpecs[Is Equities Other Developed Markets],1):(INDEX(tblAssetMenuSpecs[Is Equities Other Developed Markets],NumberOfAssets))))</f>
        <v>0</v>
      </c>
      <c r="O139" s="280">
        <f>MMULT(INDEX(ReportAssetWeightsAdverse,ROW()-ROW(O$120),1):INDEX(ReportAssetWeightsAdverse,ROW()-ROW(O$120),NumberOfAssets),INT(INDEX(tblAssetMenuSpecs[Is Equities Emerging Markets],1):(INDEX(tblAssetMenuSpecs[Is Equities Emerging Markets],NumberOfAssets))))</f>
        <v>0</v>
      </c>
      <c r="P139" s="280">
        <f>MMULT(INDEX(ReportAssetWeightsAdverse,ROW()-ROW(P$120),1):INDEX(ReportAssetWeightsAdverse,ROW()-ROW(P$120),NumberOfAssets),INT(INDEX(tblAssetMenuSpecs[Is Commodities],1):(INDEX(tblAssetMenuSpecs[Is Commodities],NumberOfAssets))))</f>
        <v>0</v>
      </c>
      <c r="Q139" s="280">
        <f>MMULT(INDEX(ReportAssetWeightsAdverse,ROW()-ROW(Q$120),1):INDEX(ReportAssetWeightsAdverse,ROW()-ROW(Q$120),NumberOfAssets),INT(INDEX(tblAssetMenuSpecs[Is Private Equity],1):(INDEX(tblAssetMenuSpecs[Is Private Equity],NumberOfAssets))))</f>
        <v>0</v>
      </c>
      <c r="R139" s="280">
        <f>MMULT(INDEX(ReportAssetWeightsAdverse,ROW()-ROW(R$120),1):INDEX(ReportAssetWeightsAdverse,ROW()-ROW(R$120),NumberOfAssets),INT(INDEX(tblAssetMenuSpecs[Is Hedge Funds],1):(INDEX(tblAssetMenuSpecs[Is Hedge Funds],NumberOfAssets))))</f>
        <v>0</v>
      </c>
      <c r="S139" s="280">
        <f>MMULT(INDEX(ReportAssetWeightsAdverse,ROW()-ROW(S$120),1):INDEX(ReportAssetWeightsAdverse,ROW()-ROW(S$120),NumberOfAssets),INT(INDEX(tblAssetMenuSpecs[Is Real Estate EU],1):(INDEX(tblAssetMenuSpecs[Is Real Estate EU],NumberOfAssets))))</f>
        <v>0</v>
      </c>
      <c r="T139" s="280">
        <f>MMULT(INDEX(ReportAssetWeightsAdverse,ROW()-ROW(T$120),1):INDEX(ReportAssetWeightsAdverse,ROW()-ROW(T$120),NumberOfAssets),INT(INDEX(tblAssetMenuSpecs[Is Real Estate US],1):(INDEX(tblAssetMenuSpecs[Is Real Estate US],NumberOfAssets))))</f>
        <v>0</v>
      </c>
      <c r="U139" s="280">
        <f>MMULT(INDEX(ReportAssetWeightsAdverse,ROW()-ROW(U$120),1):INDEX(ReportAssetWeightsAdverse,ROW()-ROW(U$120),NumberOfAssets),INT(INDEX(tblAssetMenuSpecs[Is Real Estate Other Developed Markets],1):(INDEX(tblAssetMenuSpecs[Is Real Estate Other Developed Markets],NumberOfAssets))))</f>
        <v>0</v>
      </c>
      <c r="V139" s="280">
        <f>MMULT(INDEX(ReportAssetWeightsAdverse,ROW()-ROW(V$120),1):INDEX(ReportAssetWeightsAdverse,ROW()-ROW(V$120),NumberOfAssets),INT(INDEX(tblAssetMenuSpecs[Is Real Estate Commercial EU (non-leveraged)],1):(INDEX(tblAssetMenuSpecs[Is Real Estate Commercial EU (non-leveraged)],NumberOfAssets))))</f>
        <v>0</v>
      </c>
      <c r="W139" s="280">
        <f>MMULT(INDEX(ReportAssetWeightsAdverse,ROW()-ROW(W$120),1):INDEX(ReportAssetWeightsAdverse,ROW()-ROW(W$120),NumberOfAssets),INT(INDEX(tblAssetMenuSpecs[Is Real Estate Residential EU (non-leveraged)],1):(INDEX(tblAssetMenuSpecs[Is Real Estate Residential EU (non-leveraged)],NumberOfAssets))))</f>
        <v>0</v>
      </c>
      <c r="X139" s="280">
        <f>MMULT(INDEX(ReportAssetWeightsAdverse,ROW()-ROW(X$120),1):INDEX(ReportAssetWeightsAdverse,ROW()-ROW(X$120),NumberOfAssets),INT(INDEX(tblAssetMenuSpecs[Is Government Bond EU],1):(INDEX(tblAssetMenuSpecs[Is Government Bond EU],NumberOfAssets))))</f>
        <v>0</v>
      </c>
      <c r="Y139" s="280">
        <f>MMULT(INDEX(ReportAssetWeightsAdverse,ROW()-ROW(Y$120),1):INDEX(ReportAssetWeightsAdverse,ROW()-ROW(Y$120),NumberOfAssets),INT(INDEX(tblAssetMenuSpecs[Is Government Bond US],1):(INDEX(tblAssetMenuSpecs[Is Government Bond US],NumberOfAssets))))</f>
        <v>0</v>
      </c>
      <c r="Z139" s="280">
        <f>MMULT(INDEX(ReportAssetWeightsAdverse,ROW()-ROW(Z$120),1):INDEX(ReportAssetWeightsAdverse,ROW()-ROW(Z$120),NumberOfAssets),INT(INDEX(tblAssetMenuSpecs[Is Government Bond Other Developed Markets],1):(INDEX(tblAssetMenuSpecs[Is Government Bond Other Developed Markets],NumberOfAssets))))</f>
        <v>0</v>
      </c>
      <c r="AA139" s="280">
        <f>MMULT(INDEX(ReportAssetWeightsAdverse,ROW()-ROW(AA$120),1):INDEX(ReportAssetWeightsAdverse,ROW()-ROW(AA$120),NumberOfAssets),INT(INDEX(tblAssetMenuSpecs[Is Government Bond Emerging Markets],1):(INDEX(tblAssetMenuSpecs[Is Government Bond Emerging Markets],NumberOfAssets))))</f>
        <v>0</v>
      </c>
      <c r="AB139" s="280">
        <f>MMULT(INDEX(ReportAssetWeightsAdverse,ROW()-ROW(AB$120),1):INDEX(ReportAssetWeightsAdverse,ROW()-ROW(AB$120),NumberOfAssets),INT(INDEX(tblAssetMenuSpecs[Is Corporate Bond],1):(INDEX(tblAssetMenuSpecs[Is Corporate Bond],NumberOfAssets))))</f>
        <v>0</v>
      </c>
      <c r="AC139" s="280">
        <f>MMULT(INDEX(ReportAssetWeightsAdverse,ROW()-ROW(AC$120),1):INDEX(ReportAssetWeightsAdverse,ROW()-ROW(AC$120),NumberOfAssets),INT(INDEX(tblAssetMenuSpecs[Is Corporate Bond Non-Financial],1):(INDEX(tblAssetMenuSpecs[Is Corporate Bond Non-Financial],NumberOfAssets))))</f>
        <v>0</v>
      </c>
      <c r="AD139" s="280">
        <f>MMULT(INDEX(ReportAssetWeightsAdverse,ROW()-ROW(AD$120),1):INDEX(ReportAssetWeightsAdverse,ROW()-ROW(AD$120),NumberOfAssets),INT(INDEX(tblAssetMenuSpecs[Is Corporate Bond Financial],1):(INDEX(tblAssetMenuSpecs[Is Corporate Bond Financial],NumberOfAssets))))</f>
        <v>0</v>
      </c>
      <c r="AE139" s="280">
        <f>MMULT(INDEX(ReportAssetWeightsAdverse,ROW()-ROW(AE$120),1):INDEX(ReportAssetWeightsAdverse,ROW()-ROW(AE$120),NumberOfAssets),INT(INDEX(tblAssetMenuSpecs[Is Cash and Deposits],1):(INDEX(tblAssetMenuSpecs[Is Cash and Deposits],NumberOfAssets))))</f>
        <v>1</v>
      </c>
    </row>
    <row r="140" spans="6:31" x14ac:dyDescent="0.25">
      <c r="F140" s="278">
        <f t="shared" si="1"/>
        <v>1</v>
      </c>
      <c r="G140" s="279">
        <f>MMULT(INDEX(ReportAssetWeightsAdverse,ROW()-ROW(G$120),1):INDEX(ReportAssetWeightsAdverse,ROW()-ROW(G$120),NumberOfAssets),INT(INDEX(tblAssetMenuSpecs[IsEquities],1):(INDEX(tblAssetMenuSpecs[IsEquities],NumberOfAssets))))</f>
        <v>0</v>
      </c>
      <c r="H140" s="279">
        <f>MMULT(INDEX(ReportAssetWeightsAdverse,ROW()-ROW(H$120),1):INDEX(ReportAssetWeightsAdverse,ROW()-ROW(H$120),NumberOfAssets),INT(INDEX(tblAssetMenuSpecs[IsRealEstate],1):(INDEX(tblAssetMenuSpecs[IsRealEstate],NumberOfAssets))))</f>
        <v>0</v>
      </c>
      <c r="I140" s="279">
        <f>MMULT(INDEX(ReportAssetWeightsAdverse,ROW()-ROW(I$120),1):INDEX(ReportAssetWeightsAdverse,ROW()-ROW(I$120),NumberOfAssets),INT(INDEX(tblAssetMenuSpecs[IsAlternatives],1):(INDEX(tblAssetMenuSpecs[IsAlternatives],NumberOfAssets))))</f>
        <v>0</v>
      </c>
      <c r="J140" s="279">
        <f>MMULT(INDEX(ReportAssetWeightsAdverse,ROW()-ROW(J$120),1):INDEX(ReportAssetWeightsAdverse,ROW()-ROW(J$120),NumberOfAssets),INT(INDEX(tblAssetMenuSpecs[IsFixedIncome],1):(INDEX(tblAssetMenuSpecs[IsFixedIncome],NumberOfAssets))))</f>
        <v>1</v>
      </c>
      <c r="L140" s="280">
        <f>MMULT(INDEX(ReportAssetWeightsAdverse,ROW()-ROW(L$120),1):INDEX(ReportAssetWeightsAdverse,ROW()-ROW(L$120),NumberOfAssets),INT(INDEX(tblAssetMenuSpecs[Is Equities EU],1):(INDEX(tblAssetMenuSpecs[Is Equities EU],NumberOfAssets))))</f>
        <v>0</v>
      </c>
      <c r="M140" s="280">
        <f>MMULT(INDEX(ReportAssetWeightsAdverse,ROW()-ROW(M$120),1):INDEX(ReportAssetWeightsAdverse,ROW()-ROW(M$120),NumberOfAssets),INT(INDEX(tblAssetMenuSpecs[Is Equities US],1):(INDEX(tblAssetMenuSpecs[Is Equities US],NumberOfAssets))))</f>
        <v>0</v>
      </c>
      <c r="N140" s="280">
        <f>MMULT(INDEX(ReportAssetWeightsAdverse,ROW()-ROW(N$120),1):INDEX(ReportAssetWeightsAdverse,ROW()-ROW(N$120),NumberOfAssets),INT(INDEX(tblAssetMenuSpecs[Is Equities Other Developed Markets],1):(INDEX(tblAssetMenuSpecs[Is Equities Other Developed Markets],NumberOfAssets))))</f>
        <v>0</v>
      </c>
      <c r="O140" s="280">
        <f>MMULT(INDEX(ReportAssetWeightsAdverse,ROW()-ROW(O$120),1):INDEX(ReportAssetWeightsAdverse,ROW()-ROW(O$120),NumberOfAssets),INT(INDEX(tblAssetMenuSpecs[Is Equities Emerging Markets],1):(INDEX(tblAssetMenuSpecs[Is Equities Emerging Markets],NumberOfAssets))))</f>
        <v>0</v>
      </c>
      <c r="P140" s="280">
        <f>MMULT(INDEX(ReportAssetWeightsAdverse,ROW()-ROW(P$120),1):INDEX(ReportAssetWeightsAdverse,ROW()-ROW(P$120),NumberOfAssets),INT(INDEX(tblAssetMenuSpecs[Is Commodities],1):(INDEX(tblAssetMenuSpecs[Is Commodities],NumberOfAssets))))</f>
        <v>0</v>
      </c>
      <c r="Q140" s="280">
        <f>MMULT(INDEX(ReportAssetWeightsAdverse,ROW()-ROW(Q$120),1):INDEX(ReportAssetWeightsAdverse,ROW()-ROW(Q$120),NumberOfAssets),INT(INDEX(tblAssetMenuSpecs[Is Private Equity],1):(INDEX(tblAssetMenuSpecs[Is Private Equity],NumberOfAssets))))</f>
        <v>0</v>
      </c>
      <c r="R140" s="280">
        <f>MMULT(INDEX(ReportAssetWeightsAdverse,ROW()-ROW(R$120),1):INDEX(ReportAssetWeightsAdverse,ROW()-ROW(R$120),NumberOfAssets),INT(INDEX(tblAssetMenuSpecs[Is Hedge Funds],1):(INDEX(tblAssetMenuSpecs[Is Hedge Funds],NumberOfAssets))))</f>
        <v>0</v>
      </c>
      <c r="S140" s="280">
        <f>MMULT(INDEX(ReportAssetWeightsAdverse,ROW()-ROW(S$120),1):INDEX(ReportAssetWeightsAdverse,ROW()-ROW(S$120),NumberOfAssets),INT(INDEX(tblAssetMenuSpecs[Is Real Estate EU],1):(INDEX(tblAssetMenuSpecs[Is Real Estate EU],NumberOfAssets))))</f>
        <v>0</v>
      </c>
      <c r="T140" s="280">
        <f>MMULT(INDEX(ReportAssetWeightsAdverse,ROW()-ROW(T$120),1):INDEX(ReportAssetWeightsAdverse,ROW()-ROW(T$120),NumberOfAssets),INT(INDEX(tblAssetMenuSpecs[Is Real Estate US],1):(INDEX(tblAssetMenuSpecs[Is Real Estate US],NumberOfAssets))))</f>
        <v>0</v>
      </c>
      <c r="U140" s="280">
        <f>MMULT(INDEX(ReportAssetWeightsAdverse,ROW()-ROW(U$120),1):INDEX(ReportAssetWeightsAdverse,ROW()-ROW(U$120),NumberOfAssets),INT(INDEX(tblAssetMenuSpecs[Is Real Estate Other Developed Markets],1):(INDEX(tblAssetMenuSpecs[Is Real Estate Other Developed Markets],NumberOfAssets))))</f>
        <v>0</v>
      </c>
      <c r="V140" s="280">
        <f>MMULT(INDEX(ReportAssetWeightsAdverse,ROW()-ROW(V$120),1):INDEX(ReportAssetWeightsAdverse,ROW()-ROW(V$120),NumberOfAssets),INT(INDEX(tblAssetMenuSpecs[Is Real Estate Commercial EU (non-leveraged)],1):(INDEX(tblAssetMenuSpecs[Is Real Estate Commercial EU (non-leveraged)],NumberOfAssets))))</f>
        <v>0</v>
      </c>
      <c r="W140" s="280">
        <f>MMULT(INDEX(ReportAssetWeightsAdverse,ROW()-ROW(W$120),1):INDEX(ReportAssetWeightsAdverse,ROW()-ROW(W$120),NumberOfAssets),INT(INDEX(tblAssetMenuSpecs[Is Real Estate Residential EU (non-leveraged)],1):(INDEX(tblAssetMenuSpecs[Is Real Estate Residential EU (non-leveraged)],NumberOfAssets))))</f>
        <v>0</v>
      </c>
      <c r="X140" s="280">
        <f>MMULT(INDEX(ReportAssetWeightsAdverse,ROW()-ROW(X$120),1):INDEX(ReportAssetWeightsAdverse,ROW()-ROW(X$120),NumberOfAssets),INT(INDEX(tblAssetMenuSpecs[Is Government Bond EU],1):(INDEX(tblAssetMenuSpecs[Is Government Bond EU],NumberOfAssets))))</f>
        <v>0</v>
      </c>
      <c r="Y140" s="280">
        <f>MMULT(INDEX(ReportAssetWeightsAdverse,ROW()-ROW(Y$120),1):INDEX(ReportAssetWeightsAdverse,ROW()-ROW(Y$120),NumberOfAssets),INT(INDEX(tblAssetMenuSpecs[Is Government Bond US],1):(INDEX(tblAssetMenuSpecs[Is Government Bond US],NumberOfAssets))))</f>
        <v>0</v>
      </c>
      <c r="Z140" s="280">
        <f>MMULT(INDEX(ReportAssetWeightsAdverse,ROW()-ROW(Z$120),1):INDEX(ReportAssetWeightsAdverse,ROW()-ROW(Z$120),NumberOfAssets),INT(INDEX(tblAssetMenuSpecs[Is Government Bond Other Developed Markets],1):(INDEX(tblAssetMenuSpecs[Is Government Bond Other Developed Markets],NumberOfAssets))))</f>
        <v>0</v>
      </c>
      <c r="AA140" s="280">
        <f>MMULT(INDEX(ReportAssetWeightsAdverse,ROW()-ROW(AA$120),1):INDEX(ReportAssetWeightsAdverse,ROW()-ROW(AA$120),NumberOfAssets),INT(INDEX(tblAssetMenuSpecs[Is Government Bond Emerging Markets],1):(INDEX(tblAssetMenuSpecs[Is Government Bond Emerging Markets],NumberOfAssets))))</f>
        <v>0</v>
      </c>
      <c r="AB140" s="280">
        <f>MMULT(INDEX(ReportAssetWeightsAdverse,ROW()-ROW(AB$120),1):INDEX(ReportAssetWeightsAdverse,ROW()-ROW(AB$120),NumberOfAssets),INT(INDEX(tblAssetMenuSpecs[Is Corporate Bond],1):(INDEX(tblAssetMenuSpecs[Is Corporate Bond],NumberOfAssets))))</f>
        <v>0</v>
      </c>
      <c r="AC140" s="280">
        <f>MMULT(INDEX(ReportAssetWeightsAdverse,ROW()-ROW(AC$120),1):INDEX(ReportAssetWeightsAdverse,ROW()-ROW(AC$120),NumberOfAssets),INT(INDEX(tblAssetMenuSpecs[Is Corporate Bond Non-Financial],1):(INDEX(tblAssetMenuSpecs[Is Corporate Bond Non-Financial],NumberOfAssets))))</f>
        <v>0</v>
      </c>
      <c r="AD140" s="280">
        <f>MMULT(INDEX(ReportAssetWeightsAdverse,ROW()-ROW(AD$120),1):INDEX(ReportAssetWeightsAdverse,ROW()-ROW(AD$120),NumberOfAssets),INT(INDEX(tblAssetMenuSpecs[Is Corporate Bond Financial],1):(INDEX(tblAssetMenuSpecs[Is Corporate Bond Financial],NumberOfAssets))))</f>
        <v>0</v>
      </c>
      <c r="AE140" s="280">
        <f>MMULT(INDEX(ReportAssetWeightsAdverse,ROW()-ROW(AE$120),1):INDEX(ReportAssetWeightsAdverse,ROW()-ROW(AE$120),NumberOfAssets),INT(INDEX(tblAssetMenuSpecs[Is Cash and Deposits],1):(INDEX(tblAssetMenuSpecs[Is Cash and Deposits],NumberOfAssets))))</f>
        <v>1</v>
      </c>
    </row>
    <row r="141" spans="6:31" x14ac:dyDescent="0.25">
      <c r="F141" s="278">
        <f t="shared" si="1"/>
        <v>0</v>
      </c>
      <c r="G141" s="279">
        <f>MMULT(INDEX(ReportAssetWeightsAdverse,ROW()-ROW(G$120),1):INDEX(ReportAssetWeightsAdverse,ROW()-ROW(G$120),NumberOfAssets),INT(INDEX(tblAssetMenuSpecs[IsEquities],1):(INDEX(tblAssetMenuSpecs[IsEquities],NumberOfAssets))))</f>
        <v>0</v>
      </c>
      <c r="H141" s="279">
        <f>MMULT(INDEX(ReportAssetWeightsAdverse,ROW()-ROW(H$120),1):INDEX(ReportAssetWeightsAdverse,ROW()-ROW(H$120),NumberOfAssets),INT(INDEX(tblAssetMenuSpecs[IsRealEstate],1):(INDEX(tblAssetMenuSpecs[IsRealEstate],NumberOfAssets))))</f>
        <v>0</v>
      </c>
      <c r="I141" s="279">
        <f>MMULT(INDEX(ReportAssetWeightsAdverse,ROW()-ROW(I$120),1):INDEX(ReportAssetWeightsAdverse,ROW()-ROW(I$120),NumberOfAssets),INT(INDEX(tblAssetMenuSpecs[IsAlternatives],1):(INDEX(tblAssetMenuSpecs[IsAlternatives],NumberOfAssets))))</f>
        <v>0</v>
      </c>
      <c r="J141" s="279">
        <f>MMULT(INDEX(ReportAssetWeightsAdverse,ROW()-ROW(J$120),1):INDEX(ReportAssetWeightsAdverse,ROW()-ROW(J$120),NumberOfAssets),INT(INDEX(tblAssetMenuSpecs[IsFixedIncome],1):(INDEX(tblAssetMenuSpecs[IsFixedIncome],NumberOfAssets))))</f>
        <v>1</v>
      </c>
      <c r="L141" s="280">
        <f>MMULT(INDEX(ReportAssetWeightsAdverse,ROW()-ROW(L$120),1):INDEX(ReportAssetWeightsAdverse,ROW()-ROW(L$120),NumberOfAssets),INT(INDEX(tblAssetMenuSpecs[Is Equities EU],1):(INDEX(tblAssetMenuSpecs[Is Equities EU],NumberOfAssets))))</f>
        <v>0</v>
      </c>
      <c r="M141" s="280">
        <f>MMULT(INDEX(ReportAssetWeightsAdverse,ROW()-ROW(M$120),1):INDEX(ReportAssetWeightsAdverse,ROW()-ROW(M$120),NumberOfAssets),INT(INDEX(tblAssetMenuSpecs[Is Equities US],1):(INDEX(tblAssetMenuSpecs[Is Equities US],NumberOfAssets))))</f>
        <v>0</v>
      </c>
      <c r="N141" s="280">
        <f>MMULT(INDEX(ReportAssetWeightsAdverse,ROW()-ROW(N$120),1):INDEX(ReportAssetWeightsAdverse,ROW()-ROW(N$120),NumberOfAssets),INT(INDEX(tblAssetMenuSpecs[Is Equities Other Developed Markets],1):(INDEX(tblAssetMenuSpecs[Is Equities Other Developed Markets],NumberOfAssets))))</f>
        <v>0</v>
      </c>
      <c r="O141" s="280">
        <f>MMULT(INDEX(ReportAssetWeightsAdverse,ROW()-ROW(O$120),1):INDEX(ReportAssetWeightsAdverse,ROW()-ROW(O$120),NumberOfAssets),INT(INDEX(tblAssetMenuSpecs[Is Equities Emerging Markets],1):(INDEX(tblAssetMenuSpecs[Is Equities Emerging Markets],NumberOfAssets))))</f>
        <v>0</v>
      </c>
      <c r="P141" s="280">
        <f>MMULT(INDEX(ReportAssetWeightsAdverse,ROW()-ROW(P$120),1):INDEX(ReportAssetWeightsAdverse,ROW()-ROW(P$120),NumberOfAssets),INT(INDEX(tblAssetMenuSpecs[Is Commodities],1):(INDEX(tblAssetMenuSpecs[Is Commodities],NumberOfAssets))))</f>
        <v>0</v>
      </c>
      <c r="Q141" s="280">
        <f>MMULT(INDEX(ReportAssetWeightsAdverse,ROW()-ROW(Q$120),1):INDEX(ReportAssetWeightsAdverse,ROW()-ROW(Q$120),NumberOfAssets),INT(INDEX(tblAssetMenuSpecs[Is Private Equity],1):(INDEX(tblAssetMenuSpecs[Is Private Equity],NumberOfAssets))))</f>
        <v>0</v>
      </c>
      <c r="R141" s="280">
        <f>MMULT(INDEX(ReportAssetWeightsAdverse,ROW()-ROW(R$120),1):INDEX(ReportAssetWeightsAdverse,ROW()-ROW(R$120),NumberOfAssets),INT(INDEX(tblAssetMenuSpecs[Is Hedge Funds],1):(INDEX(tblAssetMenuSpecs[Is Hedge Funds],NumberOfAssets))))</f>
        <v>0</v>
      </c>
      <c r="S141" s="280">
        <f>MMULT(INDEX(ReportAssetWeightsAdverse,ROW()-ROW(S$120),1):INDEX(ReportAssetWeightsAdverse,ROW()-ROW(S$120),NumberOfAssets),INT(INDEX(tblAssetMenuSpecs[Is Real Estate EU],1):(INDEX(tblAssetMenuSpecs[Is Real Estate EU],NumberOfAssets))))</f>
        <v>0</v>
      </c>
      <c r="T141" s="280">
        <f>MMULT(INDEX(ReportAssetWeightsAdverse,ROW()-ROW(T$120),1):INDEX(ReportAssetWeightsAdverse,ROW()-ROW(T$120),NumberOfAssets),INT(INDEX(tblAssetMenuSpecs[Is Real Estate US],1):(INDEX(tblAssetMenuSpecs[Is Real Estate US],NumberOfAssets))))</f>
        <v>0</v>
      </c>
      <c r="U141" s="280">
        <f>MMULT(INDEX(ReportAssetWeightsAdverse,ROW()-ROW(U$120),1):INDEX(ReportAssetWeightsAdverse,ROW()-ROW(U$120),NumberOfAssets),INT(INDEX(tblAssetMenuSpecs[Is Real Estate Other Developed Markets],1):(INDEX(tblAssetMenuSpecs[Is Real Estate Other Developed Markets],NumberOfAssets))))</f>
        <v>0</v>
      </c>
      <c r="V141" s="280">
        <f>MMULT(INDEX(ReportAssetWeightsAdverse,ROW()-ROW(V$120),1):INDEX(ReportAssetWeightsAdverse,ROW()-ROW(V$120),NumberOfAssets),INT(INDEX(tblAssetMenuSpecs[Is Real Estate Commercial EU (non-leveraged)],1):(INDEX(tblAssetMenuSpecs[Is Real Estate Commercial EU (non-leveraged)],NumberOfAssets))))</f>
        <v>0</v>
      </c>
      <c r="W141" s="280">
        <f>MMULT(INDEX(ReportAssetWeightsAdverse,ROW()-ROW(W$120),1):INDEX(ReportAssetWeightsAdverse,ROW()-ROW(W$120),NumberOfAssets),INT(INDEX(tblAssetMenuSpecs[Is Real Estate Residential EU (non-leveraged)],1):(INDEX(tblAssetMenuSpecs[Is Real Estate Residential EU (non-leveraged)],NumberOfAssets))))</f>
        <v>0</v>
      </c>
      <c r="X141" s="280">
        <f>MMULT(INDEX(ReportAssetWeightsAdverse,ROW()-ROW(X$120),1):INDEX(ReportAssetWeightsAdverse,ROW()-ROW(X$120),NumberOfAssets),INT(INDEX(tblAssetMenuSpecs[Is Government Bond EU],1):(INDEX(tblAssetMenuSpecs[Is Government Bond EU],NumberOfAssets))))</f>
        <v>0</v>
      </c>
      <c r="Y141" s="280">
        <f>MMULT(INDEX(ReportAssetWeightsAdverse,ROW()-ROW(Y$120),1):INDEX(ReportAssetWeightsAdverse,ROW()-ROW(Y$120),NumberOfAssets),INT(INDEX(tblAssetMenuSpecs[Is Government Bond US],1):(INDEX(tblAssetMenuSpecs[Is Government Bond US],NumberOfAssets))))</f>
        <v>0</v>
      </c>
      <c r="Z141" s="280">
        <f>MMULT(INDEX(ReportAssetWeightsAdverse,ROW()-ROW(Z$120),1):INDEX(ReportAssetWeightsAdverse,ROW()-ROW(Z$120),NumberOfAssets),INT(INDEX(tblAssetMenuSpecs[Is Government Bond Other Developed Markets],1):(INDEX(tblAssetMenuSpecs[Is Government Bond Other Developed Markets],NumberOfAssets))))</f>
        <v>0</v>
      </c>
      <c r="AA141" s="280">
        <f>MMULT(INDEX(ReportAssetWeightsAdverse,ROW()-ROW(AA$120),1):INDEX(ReportAssetWeightsAdverse,ROW()-ROW(AA$120),NumberOfAssets),INT(INDEX(tblAssetMenuSpecs[Is Government Bond Emerging Markets],1):(INDEX(tblAssetMenuSpecs[Is Government Bond Emerging Markets],NumberOfAssets))))</f>
        <v>0</v>
      </c>
      <c r="AB141" s="280">
        <f>MMULT(INDEX(ReportAssetWeightsAdverse,ROW()-ROW(AB$120),1):INDEX(ReportAssetWeightsAdverse,ROW()-ROW(AB$120),NumberOfAssets),INT(INDEX(tblAssetMenuSpecs[Is Corporate Bond],1):(INDEX(tblAssetMenuSpecs[Is Corporate Bond],NumberOfAssets))))</f>
        <v>0</v>
      </c>
      <c r="AC141" s="280">
        <f>MMULT(INDEX(ReportAssetWeightsAdverse,ROW()-ROW(AC$120),1):INDEX(ReportAssetWeightsAdverse,ROW()-ROW(AC$120),NumberOfAssets),INT(INDEX(tblAssetMenuSpecs[Is Corporate Bond Non-Financial],1):(INDEX(tblAssetMenuSpecs[Is Corporate Bond Non-Financial],NumberOfAssets))))</f>
        <v>0</v>
      </c>
      <c r="AD141" s="280">
        <f>MMULT(INDEX(ReportAssetWeightsAdverse,ROW()-ROW(AD$120),1):INDEX(ReportAssetWeightsAdverse,ROW()-ROW(AD$120),NumberOfAssets),INT(INDEX(tblAssetMenuSpecs[Is Corporate Bond Financial],1):(INDEX(tblAssetMenuSpecs[Is Corporate Bond Financial],NumberOfAssets))))</f>
        <v>0</v>
      </c>
      <c r="AE141" s="280">
        <f>MMULT(INDEX(ReportAssetWeightsAdverse,ROW()-ROW(AE$120),1):INDEX(ReportAssetWeightsAdverse,ROW()-ROW(AE$120),NumberOfAssets),INT(INDEX(tblAssetMenuSpecs[Is Cash and Deposits],1):(INDEX(tblAssetMenuSpecs[Is Cash and Deposits],NumberOfAssets))))</f>
        <v>1</v>
      </c>
    </row>
  </sheetData>
  <sheetProtection algorithmName="SHA-512" hashValue="m+oKx49FhTx0EMdLa+/MLgfoajbzCGvd62Peo3UuR5eiqQSIZ46fhg0pkqtany2w8v53MZ6TGcwgXIz+3HxyPA==" saltValue="g5FfCOLvBHdfKznLmtur1g==" spinCount="100000" sheet="1" objects="1" scenarios="1"/>
  <dataConsolidate leftLabels="1"/>
  <dataValidations count="2">
    <dataValidation showInputMessage="1" showErrorMessage="1" sqref="H95:J95 H120:J120"/>
    <dataValidation type="list" allowBlank="1" showInputMessage="1" showErrorMessage="1" sqref="B10">
      <formula1>ListMemberSheets</formula1>
    </dataValidation>
  </dataValidation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eportMember5ySheet">
    <tabColor rgb="FF00B0F0"/>
  </sheetPr>
  <dimension ref="A1:AE111"/>
  <sheetViews>
    <sheetView zoomScaleNormal="100" workbookViewId="0"/>
  </sheetViews>
  <sheetFormatPr defaultColWidth="9.140625" defaultRowHeight="15" x14ac:dyDescent="0.25"/>
  <cols>
    <col min="1" max="1" width="13.140625" style="228" customWidth="1"/>
    <col min="2" max="2" width="17.85546875" style="228" customWidth="1"/>
    <col min="3" max="3" width="5.5703125" style="231" customWidth="1"/>
    <col min="4" max="4" width="3" style="231" customWidth="1"/>
    <col min="5" max="5" width="4.42578125" style="231" customWidth="1"/>
    <col min="6" max="6" width="5.140625" style="231" customWidth="1"/>
    <col min="7" max="10" width="13.28515625" style="231" customWidth="1"/>
    <col min="11" max="11" width="9.85546875" style="231" customWidth="1"/>
    <col min="12" max="13" width="10.7109375" style="231" customWidth="1"/>
    <col min="14" max="14" width="12.7109375" style="231" customWidth="1"/>
    <col min="15" max="17" width="10.7109375" style="231" customWidth="1"/>
    <col min="18" max="31" width="9.85546875" style="231" customWidth="1"/>
    <col min="32" max="16384" width="9.140625" style="231"/>
  </cols>
  <sheetData>
    <row r="1" spans="1:15" s="228" customFormat="1" x14ac:dyDescent="0.25">
      <c r="A1" s="228" t="s">
        <v>71</v>
      </c>
      <c r="B1" s="228" t="s">
        <v>138</v>
      </c>
      <c r="K1" s="228">
        <f>INDEX(tblMapSimulations[],MATCH(K2,tblMapSimulations[[ScenarioName]:[ScenarioName]],0),MATCH(Member,tblMapSimulations[#Headers]))</f>
        <v>5</v>
      </c>
      <c r="L1" s="228">
        <f>INDEX(tblMapSimulations[],MATCH(L2,tblMapSimulations[[ScenarioName]:[ScenarioName]],0),MATCH(Member,tblMapSimulations[#Headers]))</f>
        <v>6</v>
      </c>
      <c r="N1" s="228">
        <f>INDEX(tblMapSimulations[],MATCH(N2,tblMapSimulations[[ScenarioName]:[ScenarioName]],0),MATCH(Member,tblMapSimulations[#Headers]))</f>
        <v>9</v>
      </c>
    </row>
    <row r="2" spans="1:15" s="228" customFormat="1" x14ac:dyDescent="0.25">
      <c r="A2" s="228" t="s">
        <v>73</v>
      </c>
      <c r="B2" s="228">
        <v>1.1000000000000001</v>
      </c>
      <c r="K2" s="229" t="s">
        <v>194</v>
      </c>
      <c r="L2" s="229" t="s">
        <v>526</v>
      </c>
      <c r="M2" s="230"/>
      <c r="N2" s="230" t="s">
        <v>450</v>
      </c>
    </row>
    <row r="3" spans="1:15" x14ac:dyDescent="0.25">
      <c r="A3" s="228" t="s">
        <v>89</v>
      </c>
      <c r="B3" s="228">
        <v>3</v>
      </c>
    </row>
    <row r="4" spans="1:15" x14ac:dyDescent="0.25">
      <c r="A4" s="228" t="s">
        <v>90</v>
      </c>
      <c r="B4" s="228">
        <v>3</v>
      </c>
    </row>
    <row r="5" spans="1:15" ht="26.25" x14ac:dyDescent="0.4">
      <c r="A5" s="228" t="s">
        <v>91</v>
      </c>
      <c r="B5" s="228">
        <v>112</v>
      </c>
      <c r="K5" s="232" t="s">
        <v>348</v>
      </c>
    </row>
    <row r="6" spans="1:15" x14ac:dyDescent="0.25">
      <c r="A6" s="228" t="s">
        <v>92</v>
      </c>
      <c r="B6" s="228">
        <v>32</v>
      </c>
    </row>
    <row r="7" spans="1:15" x14ac:dyDescent="0.25">
      <c r="A7" s="228" t="s">
        <v>94</v>
      </c>
      <c r="B7" s="228" t="b">
        <v>0</v>
      </c>
    </row>
    <row r="8" spans="1:15" x14ac:dyDescent="0.25">
      <c r="A8" s="228" t="s">
        <v>96</v>
      </c>
      <c r="B8" s="228" t="b">
        <v>1</v>
      </c>
    </row>
    <row r="9" spans="1:15" s="233" customFormat="1" ht="15.75" customHeight="1" x14ac:dyDescent="0.25">
      <c r="A9" s="233" t="s">
        <v>434</v>
      </c>
      <c r="B9" s="234" t="b">
        <v>0</v>
      </c>
      <c r="D9" s="235"/>
      <c r="E9" s="235"/>
      <c r="F9" s="235"/>
      <c r="G9" s="235"/>
      <c r="H9" s="235"/>
      <c r="I9" s="235"/>
      <c r="J9" s="235"/>
      <c r="K9" s="235"/>
      <c r="L9" s="235"/>
      <c r="M9" s="235"/>
      <c r="N9" s="235"/>
    </row>
    <row r="10" spans="1:15" x14ac:dyDescent="0.25">
      <c r="A10" s="236" t="s">
        <v>76</v>
      </c>
      <c r="B10" s="237" t="s">
        <v>130</v>
      </c>
      <c r="D10" s="236"/>
      <c r="E10" s="236"/>
      <c r="F10" s="236"/>
      <c r="G10" s="236"/>
      <c r="H10" s="236"/>
      <c r="I10" s="236"/>
      <c r="J10" s="236"/>
      <c r="K10" s="236"/>
      <c r="L10" s="238"/>
      <c r="M10" s="236"/>
      <c r="N10" s="236"/>
      <c r="O10" s="236"/>
    </row>
    <row r="11" spans="1:15" ht="36" customHeight="1" x14ac:dyDescent="0.25">
      <c r="B11" s="228">
        <f>MATCH(Member,ListMemberSheets,0)</f>
        <v>3</v>
      </c>
      <c r="D11" s="236"/>
      <c r="E11" s="239"/>
      <c r="F11" s="239"/>
      <c r="G11" s="239"/>
      <c r="H11" s="239"/>
      <c r="I11" s="239"/>
      <c r="J11" s="239"/>
      <c r="K11" s="240" t="s">
        <v>135</v>
      </c>
      <c r="L11" s="240" t="s">
        <v>544</v>
      </c>
      <c r="M11" s="240"/>
      <c r="N11" s="240" t="s">
        <v>449</v>
      </c>
      <c r="O11" s="236"/>
    </row>
    <row r="12" spans="1:15" x14ac:dyDescent="0.25">
      <c r="D12" s="236"/>
      <c r="E12" s="241" t="s">
        <v>362</v>
      </c>
      <c r="F12" s="241"/>
      <c r="G12" s="236"/>
      <c r="H12" s="236"/>
      <c r="I12" s="236"/>
      <c r="J12" s="236"/>
      <c r="K12" s="236"/>
      <c r="L12" s="236"/>
      <c r="M12" s="236"/>
      <c r="N12" s="236"/>
      <c r="O12" s="236"/>
    </row>
    <row r="13" spans="1:15" x14ac:dyDescent="0.25">
      <c r="D13" s="236"/>
      <c r="E13" s="236"/>
      <c r="F13" s="236"/>
      <c r="G13" s="242" t="s">
        <v>137</v>
      </c>
      <c r="H13" s="242"/>
      <c r="I13" s="242"/>
      <c r="J13" s="242"/>
      <c r="K13" s="243">
        <f>INDEX(tblSimulationOutcomes[Val::Final_wage],K$1)</f>
        <v>0</v>
      </c>
      <c r="L13" s="243">
        <f>INDEX(tblSimulationOutcomes[Val::Final_wage],L$1)</f>
        <v>0</v>
      </c>
      <c r="M13" s="244"/>
      <c r="N13" s="244"/>
      <c r="O13" s="236"/>
    </row>
    <row r="14" spans="1:15" x14ac:dyDescent="0.25">
      <c r="D14" s="236"/>
      <c r="E14" s="236"/>
      <c r="F14" s="236"/>
      <c r="G14" s="242" t="s">
        <v>363</v>
      </c>
      <c r="H14" s="242"/>
      <c r="I14" s="242"/>
      <c r="J14" s="242"/>
      <c r="K14" s="244"/>
      <c r="L14" s="245" t="e">
        <f>L13/$K13-1</f>
        <v>#DIV/0!</v>
      </c>
      <c r="M14" s="246"/>
      <c r="N14" s="246"/>
      <c r="O14" s="236"/>
    </row>
    <row r="15" spans="1:15" x14ac:dyDescent="0.25">
      <c r="D15" s="236"/>
      <c r="E15" s="239"/>
      <c r="F15" s="239"/>
      <c r="G15" s="239"/>
      <c r="H15" s="239"/>
      <c r="I15" s="239"/>
      <c r="J15" s="239"/>
      <c r="K15" s="239"/>
      <c r="L15" s="239"/>
      <c r="M15" s="239"/>
      <c r="N15" s="239"/>
      <c r="O15" s="236"/>
    </row>
    <row r="16" spans="1:15" x14ac:dyDescent="0.25">
      <c r="D16" s="236"/>
      <c r="E16" s="241" t="s">
        <v>401</v>
      </c>
      <c r="F16" s="239"/>
      <c r="G16" s="239"/>
      <c r="H16" s="239"/>
      <c r="I16" s="239"/>
      <c r="J16" s="239"/>
      <c r="K16" s="247">
        <f>INDEX(tblSimulationOutcomes[Val::Life_expectancy_from_retirement],K$1)</f>
        <v>0</v>
      </c>
      <c r="L16" s="247">
        <f>INDEX(tblSimulationOutcomes[Val::Life_expectancy_from_retirement],L$1)</f>
        <v>0</v>
      </c>
      <c r="M16" s="248"/>
      <c r="N16" s="248"/>
      <c r="O16" s="236"/>
    </row>
    <row r="17" spans="1:16" x14ac:dyDescent="0.25">
      <c r="D17" s="236"/>
      <c r="E17" s="239"/>
      <c r="F17" s="239"/>
      <c r="G17" s="239"/>
      <c r="H17" s="239"/>
      <c r="I17" s="239"/>
      <c r="J17" s="239"/>
      <c r="K17" s="239"/>
      <c r="L17" s="239"/>
      <c r="M17" s="239"/>
      <c r="N17" s="239"/>
      <c r="O17" s="236"/>
    </row>
    <row r="18" spans="1:16" x14ac:dyDescent="0.25">
      <c r="D18" s="236"/>
      <c r="E18" s="241" t="s">
        <v>368</v>
      </c>
      <c r="F18" s="241"/>
      <c r="G18" s="249"/>
      <c r="H18" s="249"/>
      <c r="I18" s="242"/>
      <c r="J18" s="249"/>
      <c r="K18" s="239"/>
      <c r="L18" s="239"/>
      <c r="M18" s="239"/>
      <c r="N18" s="239"/>
      <c r="O18" s="236"/>
    </row>
    <row r="19" spans="1:16" x14ac:dyDescent="0.25">
      <c r="A19" s="228" t="e">
        <f>MATCH(1,[0]!YTRSim,0)</f>
        <v>#REF!</v>
      </c>
      <c r="D19" s="236"/>
      <c r="E19" s="236"/>
      <c r="F19" s="236"/>
      <c r="G19" s="242" t="s">
        <v>136</v>
      </c>
      <c r="H19" s="242"/>
      <c r="I19" s="242"/>
      <c r="J19" s="242"/>
      <c r="K19" s="250">
        <f>INDEX(tblSimulationOutcomes[Val::Pension_wealth],K$1)</f>
        <v>0</v>
      </c>
      <c r="L19" s="250">
        <f>INDEX(tblSimulationOutcomes[Val::Pension_wealth],L$1)</f>
        <v>0</v>
      </c>
      <c r="M19" s="251"/>
      <c r="N19" s="250">
        <f>INDEX(tblSimulationOutcomes[Val::Pension_wealth],N$1)</f>
        <v>0</v>
      </c>
      <c r="O19" s="236"/>
    </row>
    <row r="20" spans="1:16" x14ac:dyDescent="0.25">
      <c r="D20" s="236"/>
      <c r="E20" s="252"/>
      <c r="F20" s="252"/>
      <c r="G20" s="242" t="s">
        <v>363</v>
      </c>
      <c r="H20" s="242"/>
      <c r="I20" s="242"/>
      <c r="J20" s="242"/>
      <c r="K20" s="251"/>
      <c r="L20" s="253" t="e">
        <f>L19/$K19-1</f>
        <v>#DIV/0!</v>
      </c>
      <c r="M20" s="254"/>
      <c r="N20" s="255" t="e">
        <f>N19/$K19-1</f>
        <v>#DIV/0!</v>
      </c>
      <c r="O20" s="236"/>
    </row>
    <row r="21" spans="1:16" x14ac:dyDescent="0.25">
      <c r="D21" s="236"/>
      <c r="E21" s="252"/>
      <c r="F21" s="252"/>
      <c r="G21" s="242"/>
      <c r="H21" s="242"/>
      <c r="I21" s="242"/>
      <c r="J21" s="242"/>
      <c r="K21" s="251"/>
      <c r="L21" s="254"/>
      <c r="M21" s="254"/>
      <c r="N21" s="254"/>
      <c r="O21" s="236"/>
    </row>
    <row r="22" spans="1:16" hidden="1" x14ac:dyDescent="0.25">
      <c r="D22" s="236"/>
      <c r="E22" s="252"/>
      <c r="F22" s="252"/>
      <c r="G22" s="242" t="s">
        <v>364</v>
      </c>
      <c r="H22" s="242"/>
      <c r="I22" s="242"/>
      <c r="J22" s="242"/>
      <c r="K22" s="251"/>
      <c r="L22" s="256">
        <f>IF(INDEX(tblSimulationOutcomes[[ContrExit::Pension_wealth]:[ContrExit::Pension_wealth]],L$1)=0,INDEX(tblSimulationOutcomes[[Contr::Pension_wealth]:[Contr::Pension_wealth]],L$1), "-")</f>
        <v>0</v>
      </c>
      <c r="M22" s="257"/>
      <c r="N22" s="256">
        <f>IF(INDEX(tblSimulationOutcomes[[ContrExit::Pension_wealth]:[ContrExit::Pension_wealth]],N$1)=0,INDEX(tblSimulationOutcomes[[Contr::Pension_wealth]:[Contr::Pension_wealth]],N$1), "-")</f>
        <v>0</v>
      </c>
      <c r="O22" s="236"/>
    </row>
    <row r="23" spans="1:16" hidden="1" x14ac:dyDescent="0.25">
      <c r="D23" s="236"/>
      <c r="E23" s="252"/>
      <c r="F23" s="252"/>
      <c r="G23" s="242" t="s">
        <v>365</v>
      </c>
      <c r="H23" s="242"/>
      <c r="I23" s="242"/>
      <c r="J23" s="242"/>
      <c r="K23" s="251"/>
      <c r="L23" s="250">
        <f>IF(INDEX(tblSimulationOutcomes[[PAExit::Pension_wealth]:[PAExit::Pension_wealth]],L$1)=0,ROUND(12*INDEX(tblSimulationOutcomes[[PA::Pension_wealth]:[PA::Pension_wealth]],L$1),0), "-")</f>
        <v>0</v>
      </c>
      <c r="M23" s="251"/>
      <c r="N23" s="250">
        <f>IF(INDEX(tblSimulationOutcomes[[PAExit::Pension_wealth]:[PAExit::Pension_wealth]],N$1)=0,ROUND(12*INDEX(tblSimulationOutcomes[[PA::Pension_wealth]:[PA::Pension_wealth]],N$1),0), "-")</f>
        <v>0</v>
      </c>
      <c r="O23" s="236"/>
    </row>
    <row r="24" spans="1:16" hidden="1" x14ac:dyDescent="0.25">
      <c r="D24" s="236"/>
      <c r="E24" s="252"/>
      <c r="F24" s="252"/>
      <c r="G24" s="242"/>
      <c r="H24" s="242"/>
      <c r="I24" s="242"/>
      <c r="J24" s="242"/>
      <c r="K24" s="251"/>
      <c r="L24" s="251"/>
      <c r="M24" s="251"/>
      <c r="N24" s="251"/>
      <c r="O24" s="236"/>
    </row>
    <row r="25" spans="1:16" s="233" customFormat="1" x14ac:dyDescent="0.25"/>
    <row r="26" spans="1:16" ht="18.75" x14ac:dyDescent="0.3">
      <c r="D26" s="236"/>
      <c r="E26" s="258" t="s">
        <v>367</v>
      </c>
      <c r="F26" s="258"/>
      <c r="G26" s="236"/>
      <c r="H26" s="236"/>
      <c r="I26" s="236"/>
      <c r="J26" s="236"/>
      <c r="K26" s="236"/>
      <c r="L26" s="236"/>
      <c r="M26" s="236"/>
      <c r="N26" s="236"/>
      <c r="O26" s="236"/>
    </row>
    <row r="27" spans="1:16" ht="27.75" customHeight="1" x14ac:dyDescent="0.25">
      <c r="D27" s="236"/>
      <c r="E27" s="236"/>
      <c r="F27" s="236"/>
      <c r="G27" s="242"/>
      <c r="H27" s="242"/>
      <c r="I27" s="242"/>
      <c r="J27" s="242"/>
      <c r="K27" s="240" t="s">
        <v>135</v>
      </c>
      <c r="L27" s="240" t="s">
        <v>544</v>
      </c>
      <c r="M27" s="240"/>
      <c r="N27" s="240" t="s">
        <v>449</v>
      </c>
      <c r="O27" s="236"/>
    </row>
    <row r="28" spans="1:16" x14ac:dyDescent="0.25">
      <c r="D28" s="236"/>
      <c r="E28" s="236"/>
      <c r="F28" s="259" t="s">
        <v>254</v>
      </c>
      <c r="G28" s="236"/>
      <c r="H28" s="236"/>
      <c r="I28" s="236"/>
      <c r="J28" s="236"/>
      <c r="K28" s="236"/>
      <c r="L28" s="236"/>
      <c r="M28" s="236"/>
      <c r="N28" s="236"/>
      <c r="O28" s="260"/>
      <c r="P28" s="233"/>
    </row>
    <row r="29" spans="1:16" x14ac:dyDescent="0.25">
      <c r="D29" s="236"/>
      <c r="E29" s="236"/>
      <c r="F29" s="236"/>
      <c r="G29" s="236" t="s">
        <v>371</v>
      </c>
      <c r="H29" s="236"/>
      <c r="I29" s="236"/>
      <c r="J29" s="236"/>
      <c r="K29" s="261">
        <f>INDEX(tblSimulationOutcomes[Val::PensionIncNomAnnuity],K$1)</f>
        <v>0</v>
      </c>
      <c r="L29" s="261">
        <f>INDEX(tblSimulationOutcomes[Val::PensionIncNomAnnuity],L$1)</f>
        <v>0</v>
      </c>
      <c r="M29" s="244"/>
      <c r="N29" s="261">
        <f>INDEX(tblSimulationOutcomes[Val::PensionIncNomAnnuity],N$1)</f>
        <v>0</v>
      </c>
      <c r="O29" s="260"/>
      <c r="P29" s="233"/>
    </row>
    <row r="30" spans="1:16" x14ac:dyDescent="0.25">
      <c r="D30" s="236"/>
      <c r="E30" s="236"/>
      <c r="F30" s="236"/>
      <c r="G30" s="242" t="s">
        <v>366</v>
      </c>
      <c r="H30" s="242"/>
      <c r="I30" s="242"/>
      <c r="J30" s="242"/>
      <c r="K30" s="246"/>
      <c r="L30" s="245" t="e">
        <f>L29/$K29-1</f>
        <v>#DIV/0!</v>
      </c>
      <c r="M30" s="246"/>
      <c r="N30" s="262" t="e">
        <f>N29/$K29-1</f>
        <v>#DIV/0!</v>
      </c>
      <c r="O30" s="260"/>
      <c r="P30" s="233"/>
    </row>
    <row r="31" spans="1:16" x14ac:dyDescent="0.25">
      <c r="D31" s="236"/>
      <c r="E31" s="236"/>
      <c r="F31" s="236"/>
      <c r="G31" s="242"/>
      <c r="H31" s="242"/>
      <c r="I31" s="242"/>
      <c r="J31" s="242"/>
      <c r="K31" s="246"/>
      <c r="L31" s="246"/>
      <c r="M31" s="246"/>
      <c r="N31" s="246"/>
      <c r="O31" s="260"/>
      <c r="P31" s="233"/>
    </row>
    <row r="32" spans="1:16" hidden="1" x14ac:dyDescent="0.25">
      <c r="D32" s="236"/>
      <c r="E32" s="236"/>
      <c r="F32" s="236"/>
      <c r="G32" s="242" t="s">
        <v>364</v>
      </c>
      <c r="H32" s="242"/>
      <c r="I32" s="242"/>
      <c r="J32" s="242"/>
      <c r="K32" s="251"/>
      <c r="L32" s="256">
        <f>IF(INDEX(tblSimulationOutcomes[[ContrExit::PensionIncNomAnnuity]:[ContrExit::PensionIncNomAnnuity]],L$1)=0,INDEX(tblSimulationOutcomes[[Contr::PensionIncNomAnnuity]:[Contr::PensionIncNomAnnuity]],L$1), "-")</f>
        <v>0</v>
      </c>
      <c r="M32" s="257"/>
      <c r="N32" s="256">
        <f>IF(INDEX(tblSimulationOutcomes[[ContrExit::PensionIncNomAnnuity]:[ContrExit::PensionIncNomAnnuity]],N$1)=0,INDEX(tblSimulationOutcomes[[Contr::PensionIncNomAnnuity]:[Contr::PensionIncNomAnnuity]],N$1), "-")</f>
        <v>0</v>
      </c>
      <c r="O32" s="260"/>
      <c r="P32" s="233"/>
    </row>
    <row r="33" spans="4:16" hidden="1" x14ac:dyDescent="0.25">
      <c r="D33" s="236"/>
      <c r="E33" s="236"/>
      <c r="F33" s="236"/>
      <c r="G33" s="242" t="s">
        <v>365</v>
      </c>
      <c r="H33" s="242"/>
      <c r="I33" s="242"/>
      <c r="J33" s="242"/>
      <c r="K33" s="251"/>
      <c r="L33" s="250">
        <f>IF(INDEX(tblSimulationOutcomes[[PAExit::PensionIncNomAnnuity]:[PAExit::PensionIncNomAnnuity]],L$1)=0,ROUND(12*INDEX(tblSimulationOutcomes[[PA::PensionIncNomAnnuity]:[PA::PensionIncNomAnnuity]],L$1),0), "-")</f>
        <v>0</v>
      </c>
      <c r="M33" s="251"/>
      <c r="N33" s="250">
        <f>IF(INDEX(tblSimulationOutcomes[[PAExit::PensionIncNomAnnuity]:[PAExit::PensionIncNomAnnuity]],N$1)=0,ROUND(12*INDEX(tblSimulationOutcomes[[PA::PensionIncNomAnnuity]:[PA::PensionIncNomAnnuity]],N$1),0), "-")</f>
        <v>0</v>
      </c>
      <c r="O33" s="260"/>
      <c r="P33" s="233"/>
    </row>
    <row r="34" spans="4:16" hidden="1" x14ac:dyDescent="0.25">
      <c r="D34" s="236"/>
      <c r="E34" s="236"/>
      <c r="F34" s="236"/>
      <c r="G34" s="236"/>
      <c r="H34" s="236"/>
      <c r="I34" s="236"/>
      <c r="J34" s="236"/>
      <c r="K34" s="236"/>
      <c r="L34" s="236"/>
      <c r="M34" s="236"/>
      <c r="N34" s="236"/>
      <c r="O34" s="236"/>
    </row>
    <row r="35" spans="4:16" x14ac:dyDescent="0.25">
      <c r="D35" s="236"/>
      <c r="E35" s="236"/>
      <c r="F35" s="259" t="s">
        <v>353</v>
      </c>
      <c r="G35" s="236"/>
      <c r="H35" s="236"/>
      <c r="I35" s="236"/>
      <c r="J35" s="236"/>
      <c r="K35" s="236"/>
      <c r="L35" s="236"/>
      <c r="M35" s="236"/>
      <c r="N35" s="236"/>
      <c r="O35" s="260"/>
    </row>
    <row r="36" spans="4:16" x14ac:dyDescent="0.25">
      <c r="D36" s="236"/>
      <c r="E36" s="236"/>
      <c r="F36" s="236"/>
      <c r="G36" s="236" t="s">
        <v>371</v>
      </c>
      <c r="H36" s="236"/>
      <c r="I36" s="236"/>
      <c r="J36" s="236"/>
      <c r="K36" s="261">
        <f>INDEX(tblSimulationOutcomes[Val::PensionIncRealAnnuity],K$1)</f>
        <v>0</v>
      </c>
      <c r="L36" s="261">
        <f>INDEX(tblSimulationOutcomes[Val::PensionIncRealAnnuity],L$1)</f>
        <v>0</v>
      </c>
      <c r="M36" s="244"/>
      <c r="N36" s="261">
        <f>INDEX(tblSimulationOutcomes[Val::PensionIncRealAnnuity],N$1)</f>
        <v>0</v>
      </c>
      <c r="O36" s="260"/>
    </row>
    <row r="37" spans="4:16" x14ac:dyDescent="0.25">
      <c r="D37" s="236"/>
      <c r="E37" s="236"/>
      <c r="F37" s="236"/>
      <c r="G37" s="242" t="s">
        <v>366</v>
      </c>
      <c r="H37" s="242"/>
      <c r="I37" s="242"/>
      <c r="J37" s="242"/>
      <c r="K37" s="246"/>
      <c r="L37" s="245" t="e">
        <f>L36/$K36-1</f>
        <v>#DIV/0!</v>
      </c>
      <c r="M37" s="246"/>
      <c r="N37" s="262" t="e">
        <f>N36/$K36-1</f>
        <v>#DIV/0!</v>
      </c>
      <c r="O37" s="260"/>
    </row>
    <row r="38" spans="4:16" x14ac:dyDescent="0.25">
      <c r="D38" s="236"/>
      <c r="E38" s="236"/>
      <c r="F38" s="236"/>
      <c r="G38" s="242"/>
      <c r="H38" s="242"/>
      <c r="I38" s="242"/>
      <c r="J38" s="242"/>
      <c r="K38" s="246"/>
      <c r="L38" s="246"/>
      <c r="M38" s="246"/>
      <c r="N38" s="246"/>
      <c r="O38" s="260"/>
    </row>
    <row r="39" spans="4:16" hidden="1" x14ac:dyDescent="0.25">
      <c r="D39" s="236"/>
      <c r="E39" s="236"/>
      <c r="F39" s="236"/>
      <c r="G39" s="242" t="s">
        <v>364</v>
      </c>
      <c r="H39" s="242"/>
      <c r="I39" s="242"/>
      <c r="J39" s="242"/>
      <c r="K39" s="251"/>
      <c r="L39" s="256">
        <f>IF(INDEX(tblSimulationOutcomes[[ContrExit::PensionIncRealAnnuity]:[ContrExit::PensionIncRealAnnuity]],L$1)=0,INDEX(tblSimulationOutcomes[[Contr::PensionIncRealAnnuity]:[Contr::PensionIncRealAnnuity]],L$1), "-")</f>
        <v>0</v>
      </c>
      <c r="M39" s="257"/>
      <c r="N39" s="256">
        <f>IF(INDEX(tblSimulationOutcomes[[ContrExit::PensionIncRealAnnuity]:[ContrExit::PensionIncRealAnnuity]],N$1)=0,INDEX(tblSimulationOutcomes[[Contr::PensionIncRealAnnuity]:[Contr::PensionIncRealAnnuity]],N$1), "-")</f>
        <v>0</v>
      </c>
      <c r="O39" s="260"/>
    </row>
    <row r="40" spans="4:16" hidden="1" x14ac:dyDescent="0.25">
      <c r="D40" s="236"/>
      <c r="E40" s="236"/>
      <c r="F40" s="236"/>
      <c r="G40" s="242" t="s">
        <v>365</v>
      </c>
      <c r="H40" s="242"/>
      <c r="I40" s="242"/>
      <c r="J40" s="242"/>
      <c r="K40" s="251"/>
      <c r="L40" s="250">
        <f>IF(INDEX(tblSimulationOutcomes[[PAExit::PensionIncRealAnnuity]:[PAExit::PensionIncRealAnnuity]],L$1)=0,ROUND(12*INDEX(tblSimulationOutcomes[[PA::PensionIncRealAnnuity]:[PA::PensionIncRealAnnuity]],L$1),0), "-")</f>
        <v>0</v>
      </c>
      <c r="M40" s="251"/>
      <c r="N40" s="250">
        <f>IF(INDEX(tblSimulationOutcomes[[PAExit::PensionIncRealAnnuity]:[PAExit::PensionIncRealAnnuity]],N$1)=0,ROUND(12*INDEX(tblSimulationOutcomes[[PA::PensionIncRealAnnuity]:[PA::PensionIncRealAnnuity]],N$1),0), "-")</f>
        <v>0</v>
      </c>
      <c r="O40" s="260"/>
    </row>
    <row r="41" spans="4:16" hidden="1" x14ac:dyDescent="0.25">
      <c r="D41" s="236"/>
      <c r="E41" s="236"/>
      <c r="F41" s="236"/>
      <c r="G41" s="236"/>
      <c r="H41" s="236"/>
      <c r="I41" s="236"/>
      <c r="J41" s="236"/>
      <c r="K41" s="236"/>
      <c r="L41" s="236"/>
      <c r="M41" s="236"/>
      <c r="N41" s="236"/>
      <c r="O41" s="236"/>
    </row>
    <row r="42" spans="4:16" x14ac:dyDescent="0.25">
      <c r="D42" s="236"/>
      <c r="E42" s="236"/>
      <c r="F42" s="259" t="s">
        <v>255</v>
      </c>
      <c r="G42" s="236"/>
      <c r="H42" s="236"/>
      <c r="I42" s="236"/>
      <c r="J42" s="236"/>
      <c r="K42" s="236"/>
      <c r="L42" s="236"/>
      <c r="M42" s="236"/>
      <c r="N42" s="236"/>
      <c r="O42" s="236"/>
    </row>
    <row r="43" spans="4:16" x14ac:dyDescent="0.25">
      <c r="D43" s="236"/>
      <c r="E43" s="236"/>
      <c r="F43" s="236"/>
      <c r="G43" s="236" t="s">
        <v>371</v>
      </c>
      <c r="H43" s="236"/>
      <c r="I43" s="236"/>
      <c r="J43" s="236"/>
      <c r="K43" s="261">
        <f>INDEX(tblSimulationOutcomes[Val::PensionIncNomDD],K$1)</f>
        <v>0</v>
      </c>
      <c r="L43" s="261">
        <f>INDEX(tblSimulationOutcomes[Val::PensionIncNomDD],L$1)</f>
        <v>0</v>
      </c>
      <c r="M43" s="244"/>
      <c r="N43" s="261">
        <f>INDEX(tblSimulationOutcomes[Val::PensionIncNomDD],N$1)</f>
        <v>0</v>
      </c>
      <c r="O43" s="236"/>
    </row>
    <row r="44" spans="4:16" x14ac:dyDescent="0.25">
      <c r="D44" s="236"/>
      <c r="E44" s="236"/>
      <c r="F44" s="236"/>
      <c r="G44" s="242" t="s">
        <v>366</v>
      </c>
      <c r="H44" s="242"/>
      <c r="I44" s="242"/>
      <c r="J44" s="242"/>
      <c r="K44" s="246"/>
      <c r="L44" s="245" t="e">
        <f>L43/$K43-1</f>
        <v>#DIV/0!</v>
      </c>
      <c r="M44" s="246"/>
      <c r="N44" s="262" t="e">
        <f>N43/$K43-1</f>
        <v>#DIV/0!</v>
      </c>
      <c r="O44" s="236"/>
    </row>
    <row r="45" spans="4:16" x14ac:dyDescent="0.25">
      <c r="D45" s="236"/>
      <c r="E45" s="236"/>
      <c r="F45" s="236"/>
      <c r="G45" s="242"/>
      <c r="H45" s="242"/>
      <c r="I45" s="242"/>
      <c r="J45" s="242"/>
      <c r="K45" s="246"/>
      <c r="L45" s="246"/>
      <c r="M45" s="246"/>
      <c r="N45" s="246"/>
      <c r="O45" s="236"/>
    </row>
    <row r="46" spans="4:16" hidden="1" x14ac:dyDescent="0.25">
      <c r="D46" s="236"/>
      <c r="E46" s="236"/>
      <c r="F46" s="236"/>
      <c r="G46" s="242" t="s">
        <v>364</v>
      </c>
      <c r="H46" s="242"/>
      <c r="I46" s="242"/>
      <c r="J46" s="242"/>
      <c r="K46" s="251"/>
      <c r="L46" s="256">
        <f>IF(INDEX(tblSimulationOutcomes[[ContrExit::PensionIncNomDD]:[ContrExit::PensionIncNomDD]],L$1)=0,INDEX(tblSimulationOutcomes[[Contr::PensionIncNomDD]:[Contr::PensionIncNomDD]],L$1), "-")</f>
        <v>0</v>
      </c>
      <c r="M46" s="257"/>
      <c r="N46" s="256">
        <f>IF(INDEX(tblSimulationOutcomes[[ContrExit::PensionIncNomDD]:[ContrExit::PensionIncNomDD]],N$1)=0,INDEX(tblSimulationOutcomes[[Contr::PensionIncNomDD]:[Contr::PensionIncNomDD]],N$1), "-")</f>
        <v>0</v>
      </c>
      <c r="O46" s="236"/>
    </row>
    <row r="47" spans="4:16" hidden="1" x14ac:dyDescent="0.25">
      <c r="D47" s="236"/>
      <c r="E47" s="236"/>
      <c r="F47" s="236"/>
      <c r="G47" s="242" t="s">
        <v>365</v>
      </c>
      <c r="H47" s="242"/>
      <c r="I47" s="242"/>
      <c r="J47" s="242"/>
      <c r="K47" s="251"/>
      <c r="L47" s="250">
        <f>IF(INDEX(tblSimulationOutcomes[[PAExit::PensionIncNomDD]:[PAExit::PensionIncNomDD]],L$1)=0,ROUND(12*INDEX(tblSimulationOutcomes[[PA::PensionIncNomDD]:[PA::PensionIncNomDD]],L$1),0), "-")</f>
        <v>0</v>
      </c>
      <c r="M47" s="251"/>
      <c r="N47" s="250">
        <f>IF(INDEX(tblSimulationOutcomes[[PAExit::PensionIncNomDD]:[PAExit::PensionIncNomDD]],N$1)=0,ROUND(12*INDEX(tblSimulationOutcomes[[PA::PensionIncNomDD]:[PA::PensionIncNomDD]],N$1),0), "-")</f>
        <v>0</v>
      </c>
      <c r="O47" s="236"/>
    </row>
    <row r="48" spans="4:16" hidden="1" x14ac:dyDescent="0.25">
      <c r="D48" s="236"/>
      <c r="E48" s="236"/>
      <c r="F48" s="236"/>
      <c r="G48" s="242"/>
      <c r="H48" s="242"/>
      <c r="I48" s="242"/>
      <c r="J48" s="242"/>
      <c r="K48" s="251"/>
      <c r="L48" s="251"/>
      <c r="M48" s="251"/>
      <c r="N48" s="251"/>
      <c r="O48" s="236"/>
    </row>
    <row r="49" spans="1:15" s="233" customFormat="1" x14ac:dyDescent="0.25">
      <c r="G49" s="263"/>
      <c r="H49" s="263"/>
      <c r="I49" s="263"/>
      <c r="J49" s="263"/>
      <c r="K49" s="264"/>
      <c r="L49" s="264"/>
      <c r="M49" s="264"/>
      <c r="N49" s="264"/>
    </row>
    <row r="50" spans="1:15" ht="18.75" x14ac:dyDescent="0.3">
      <c r="D50" s="236"/>
      <c r="E50" s="258" t="s">
        <v>369</v>
      </c>
      <c r="F50" s="258"/>
      <c r="G50" s="236"/>
      <c r="H50" s="236"/>
      <c r="I50" s="236"/>
      <c r="J50" s="236"/>
      <c r="K50" s="236"/>
      <c r="L50" s="236"/>
      <c r="M50" s="236"/>
      <c r="N50" s="236"/>
      <c r="O50" s="236"/>
    </row>
    <row r="51" spans="1:15" ht="33" customHeight="1" x14ac:dyDescent="0.3">
      <c r="D51" s="236"/>
      <c r="E51" s="258"/>
      <c r="F51" s="258"/>
      <c r="G51" s="236"/>
      <c r="H51" s="236"/>
      <c r="I51" s="236"/>
      <c r="J51" s="236"/>
      <c r="K51" s="240" t="s">
        <v>135</v>
      </c>
      <c r="L51" s="240" t="s">
        <v>544</v>
      </c>
      <c r="M51" s="240"/>
      <c r="N51" s="240" t="s">
        <v>449</v>
      </c>
      <c r="O51" s="236"/>
    </row>
    <row r="52" spans="1:15" x14ac:dyDescent="0.25">
      <c r="D52" s="236"/>
      <c r="E52" s="236"/>
      <c r="F52" s="259" t="s">
        <v>254</v>
      </c>
      <c r="G52" s="236"/>
      <c r="H52" s="236"/>
      <c r="I52" s="236"/>
      <c r="J52" s="236"/>
      <c r="K52" s="236"/>
      <c r="L52" s="236"/>
      <c r="M52" s="236"/>
      <c r="N52" s="236"/>
      <c r="O52" s="236"/>
    </row>
    <row r="53" spans="1:15" x14ac:dyDescent="0.25">
      <c r="D53" s="236"/>
      <c r="E53" s="236"/>
      <c r="F53" s="236"/>
      <c r="G53" s="236" t="s">
        <v>370</v>
      </c>
      <c r="H53" s="236"/>
      <c r="I53" s="236"/>
      <c r="J53" s="236"/>
      <c r="K53" s="265">
        <f>INDEX(tblSimulationOutcomes[Val::RepRateNomAnnuity],K$1)</f>
        <v>0</v>
      </c>
      <c r="L53" s="265">
        <f>INDEX(tblSimulationOutcomes[Val::RepRateNomAnnuity],L$1)</f>
        <v>0</v>
      </c>
      <c r="M53" s="266"/>
      <c r="N53" s="265">
        <f>INDEX(tblSimulationOutcomes[Val::RepRateNomAnnuity],N$1)</f>
        <v>0</v>
      </c>
      <c r="O53" s="236"/>
    </row>
    <row r="54" spans="1:15" x14ac:dyDescent="0.25">
      <c r="D54" s="236"/>
      <c r="E54" s="236"/>
      <c r="F54" s="236"/>
      <c r="G54" s="242" t="s">
        <v>372</v>
      </c>
      <c r="H54" s="242"/>
      <c r="I54" s="242"/>
      <c r="J54" s="242"/>
      <c r="K54" s="246"/>
      <c r="L54" s="267">
        <f>L53-$K53</f>
        <v>0</v>
      </c>
      <c r="M54" s="266"/>
      <c r="N54" s="267">
        <f>N53-$K53</f>
        <v>0</v>
      </c>
      <c r="O54" s="236"/>
    </row>
    <row r="55" spans="1:15" x14ac:dyDescent="0.25">
      <c r="D55" s="236"/>
      <c r="E55" s="236"/>
      <c r="F55" s="236"/>
      <c r="G55" s="242"/>
      <c r="H55" s="242"/>
      <c r="I55" s="242"/>
      <c r="J55" s="242"/>
      <c r="K55" s="246"/>
      <c r="L55" s="246"/>
      <c r="M55" s="246"/>
      <c r="N55" s="246"/>
      <c r="O55" s="236"/>
    </row>
    <row r="56" spans="1:15" hidden="1" x14ac:dyDescent="0.25">
      <c r="D56" s="236"/>
      <c r="E56" s="236"/>
      <c r="F56" s="236"/>
      <c r="G56" s="242" t="s">
        <v>364</v>
      </c>
      <c r="H56" s="242"/>
      <c r="I56" s="242"/>
      <c r="J56" s="242"/>
      <c r="K56" s="251"/>
      <c r="L56" s="268">
        <f>IF(INDEX(tblSimulationOutcomes[[ContrExit::RepRateNomAnnuity]:[ContrExit::RepRateNomAnnuity]],L$1)=0,INDEX(tblSimulationOutcomes[[Contr::RepRateNomAnnuity]:[Contr::RepRateNomAnnuity]],L$1), "-")</f>
        <v>0</v>
      </c>
      <c r="M56" s="269"/>
      <c r="N56" s="268">
        <f>IF(INDEX(tblSimulationOutcomes[[ContrExit::RepRateNomAnnuity]:[ContrExit::RepRateNomAnnuity]],N$1)=0,INDEX(tblSimulationOutcomes[[Contr::RepRateNomAnnuity]:[Contr::RepRateNomAnnuity]],N$1), "-")</f>
        <v>0</v>
      </c>
      <c r="O56" s="236"/>
    </row>
    <row r="57" spans="1:15" hidden="1" x14ac:dyDescent="0.25">
      <c r="D57" s="236"/>
      <c r="E57" s="236"/>
      <c r="F57" s="236"/>
      <c r="G57" s="242" t="s">
        <v>365</v>
      </c>
      <c r="H57" s="242"/>
      <c r="I57" s="242"/>
      <c r="J57" s="242"/>
      <c r="K57" s="251"/>
      <c r="L57" s="250">
        <f>IF(INDEX(tblSimulationOutcomes[[PAExit::RepRateNomAnnuity]:[PAExit::RepRateNomAnnuity]],L$1)=0,ROUND(12*INDEX(tblSimulationOutcomes[[PA::RepRateNomAnnuity]:[PA::RepRateNomAnnuity]],L$1),0), "-")</f>
        <v>0</v>
      </c>
      <c r="M57" s="251"/>
      <c r="N57" s="250">
        <f>IF(INDEX(tblSimulationOutcomes[[PAExit::RepRateNomAnnuity]:[PAExit::RepRateNomAnnuity]],N$1)=0,ROUND(12*INDEX(tblSimulationOutcomes[[PA::RepRateNomAnnuity]:[PA::RepRateNomAnnuity]],N$1),0), "-")</f>
        <v>0</v>
      </c>
      <c r="O57" s="236"/>
    </row>
    <row r="58" spans="1:15" hidden="1" x14ac:dyDescent="0.25">
      <c r="D58" s="236"/>
      <c r="E58" s="236"/>
      <c r="F58" s="236"/>
      <c r="G58" s="236"/>
      <c r="H58" s="236"/>
      <c r="I58" s="236"/>
      <c r="J58" s="242"/>
      <c r="K58" s="246"/>
      <c r="L58" s="246"/>
      <c r="M58" s="246"/>
      <c r="N58" s="246"/>
      <c r="O58" s="236"/>
    </row>
    <row r="59" spans="1:15" s="271" customFormat="1" x14ac:dyDescent="0.25">
      <c r="A59" s="270"/>
      <c r="B59" s="270"/>
      <c r="D59" s="272"/>
      <c r="E59" s="236"/>
      <c r="F59" s="259" t="s">
        <v>353</v>
      </c>
      <c r="G59" s="236"/>
      <c r="H59" s="236"/>
      <c r="I59" s="236"/>
      <c r="J59" s="236"/>
      <c r="K59" s="236"/>
      <c r="L59" s="236"/>
      <c r="M59" s="236"/>
      <c r="N59" s="236"/>
      <c r="O59" s="272"/>
    </row>
    <row r="60" spans="1:15" x14ac:dyDescent="0.25">
      <c r="D60" s="236"/>
      <c r="E60" s="236"/>
      <c r="F60" s="236"/>
      <c r="G60" s="236" t="s">
        <v>370</v>
      </c>
      <c r="H60" s="236"/>
      <c r="I60" s="236"/>
      <c r="J60" s="236"/>
      <c r="K60" s="265">
        <f>INDEX(tblSimulationOutcomes[Val::RepRateRealAnnuity],K$1)</f>
        <v>0</v>
      </c>
      <c r="L60" s="265">
        <f>INDEX(tblSimulationOutcomes[Val::RepRateRealAnnuity],L$1)</f>
        <v>0</v>
      </c>
      <c r="M60" s="266"/>
      <c r="N60" s="265">
        <f>INDEX(tblSimulationOutcomes[Val::RepRateRealAnnuity],N$1)</f>
        <v>0</v>
      </c>
      <c r="O60" s="236"/>
    </row>
    <row r="61" spans="1:15" x14ac:dyDescent="0.25">
      <c r="D61" s="236"/>
      <c r="E61" s="236"/>
      <c r="F61" s="236"/>
      <c r="G61" s="242" t="s">
        <v>372</v>
      </c>
      <c r="H61" s="242"/>
      <c r="I61" s="242"/>
      <c r="J61" s="242"/>
      <c r="K61" s="246"/>
      <c r="L61" s="267">
        <f>L60-$K60</f>
        <v>0</v>
      </c>
      <c r="M61" s="266"/>
      <c r="N61" s="267">
        <f>N60-$K60</f>
        <v>0</v>
      </c>
      <c r="O61" s="236"/>
    </row>
    <row r="62" spans="1:15" x14ac:dyDescent="0.25">
      <c r="D62" s="236"/>
      <c r="E62" s="236"/>
      <c r="F62" s="236"/>
      <c r="G62" s="242"/>
      <c r="H62" s="242"/>
      <c r="I62" s="242"/>
      <c r="J62" s="242"/>
      <c r="K62" s="246"/>
      <c r="L62" s="246"/>
      <c r="M62" s="246"/>
      <c r="N62" s="246"/>
      <c r="O62" s="236"/>
    </row>
    <row r="63" spans="1:15" hidden="1" x14ac:dyDescent="0.25">
      <c r="D63" s="236"/>
      <c r="E63" s="236"/>
      <c r="F63" s="236"/>
      <c r="G63" s="242" t="s">
        <v>364</v>
      </c>
      <c r="H63" s="242"/>
      <c r="I63" s="242"/>
      <c r="J63" s="242"/>
      <c r="K63" s="251"/>
      <c r="L63" s="256">
        <f>IF(INDEX(tblSimulationOutcomes[[ContrExit::RepRateRealAnnuity]:[ContrExit::RepRateRealAnnuity]],L$1)=0,INDEX(tblSimulationOutcomes[[Contr::RepRateRealAnnuity]:[Contr::RepRateRealAnnuity]],L$1), "-")</f>
        <v>0</v>
      </c>
      <c r="M63" s="257"/>
      <c r="N63" s="256">
        <f>IF(INDEX(tblSimulationOutcomes[[ContrExit::RepRateRealAnnuity]:[ContrExit::RepRateRealAnnuity]],N$1)=0,INDEX(tblSimulationOutcomes[[Contr::RepRateRealAnnuity]:[Contr::RepRateRealAnnuity]],N$1), "-")</f>
        <v>0</v>
      </c>
      <c r="O63" s="236"/>
    </row>
    <row r="64" spans="1:15" hidden="1" x14ac:dyDescent="0.25">
      <c r="D64" s="236"/>
      <c r="E64" s="236"/>
      <c r="F64" s="236"/>
      <c r="G64" s="242" t="s">
        <v>365</v>
      </c>
      <c r="H64" s="242"/>
      <c r="I64" s="242"/>
      <c r="J64" s="242"/>
      <c r="K64" s="251"/>
      <c r="L64" s="250">
        <f>IF(INDEX(tblSimulationOutcomes[[PAExit::RepRateRealAnnuity]:[PAExit::RepRateRealAnnuity]],L$1)=0,ROUND(12*INDEX(tblSimulationOutcomes[[PA::RepRateRealAnnuity]:[PA::RepRateRealAnnuity]],L$1),0), "-")</f>
        <v>0</v>
      </c>
      <c r="M64" s="251"/>
      <c r="N64" s="250">
        <f>IF(INDEX(tblSimulationOutcomes[[PAExit::RepRateRealAnnuity]:[PAExit::RepRateRealAnnuity]],N$1)=0,ROUND(12*INDEX(tblSimulationOutcomes[[PA::RepRateRealAnnuity]:[PA::RepRateRealAnnuity]],N$1),0), "-")</f>
        <v>0</v>
      </c>
      <c r="O64" s="236"/>
    </row>
    <row r="65" spans="4:15" hidden="1" x14ac:dyDescent="0.25">
      <c r="D65" s="236"/>
      <c r="E65" s="236"/>
      <c r="F65" s="236"/>
      <c r="G65" s="236"/>
      <c r="H65" s="236"/>
      <c r="I65" s="236"/>
      <c r="J65" s="236"/>
      <c r="K65" s="236"/>
      <c r="L65" s="236"/>
      <c r="M65" s="236"/>
      <c r="N65" s="236"/>
      <c r="O65" s="236"/>
    </row>
    <row r="66" spans="4:15" x14ac:dyDescent="0.25">
      <c r="D66" s="236"/>
      <c r="E66" s="236"/>
      <c r="F66" s="259" t="s">
        <v>255</v>
      </c>
      <c r="G66" s="236"/>
      <c r="H66" s="236"/>
      <c r="I66" s="236"/>
      <c r="J66" s="236"/>
      <c r="K66" s="236"/>
      <c r="L66" s="236"/>
      <c r="M66" s="236"/>
      <c r="N66" s="236"/>
      <c r="O66" s="236"/>
    </row>
    <row r="67" spans="4:15" x14ac:dyDescent="0.25">
      <c r="D67" s="236"/>
      <c r="E67" s="236"/>
      <c r="F67" s="236"/>
      <c r="G67" s="236" t="s">
        <v>370</v>
      </c>
      <c r="H67" s="236"/>
      <c r="I67" s="236"/>
      <c r="J67" s="236"/>
      <c r="K67" s="265">
        <f>INDEX(tblSimulationOutcomes[Val::RepRateNomDD],K$1)</f>
        <v>0</v>
      </c>
      <c r="L67" s="265">
        <f>INDEX(tblSimulationOutcomes[Val::RepRateNomDD],L$1)</f>
        <v>0</v>
      </c>
      <c r="M67" s="266"/>
      <c r="N67" s="265">
        <f>INDEX(tblSimulationOutcomes[Val::RepRateNomDD],N$1)</f>
        <v>0</v>
      </c>
      <c r="O67" s="236"/>
    </row>
    <row r="68" spans="4:15" x14ac:dyDescent="0.25">
      <c r="D68" s="236"/>
      <c r="E68" s="236"/>
      <c r="F68" s="236"/>
      <c r="G68" s="242" t="s">
        <v>372</v>
      </c>
      <c r="H68" s="242"/>
      <c r="I68" s="242"/>
      <c r="J68" s="242"/>
      <c r="K68" s="246"/>
      <c r="L68" s="267">
        <f>L67-$K67</f>
        <v>0</v>
      </c>
      <c r="M68" s="266"/>
      <c r="N68" s="267">
        <f>N67-$K67</f>
        <v>0</v>
      </c>
      <c r="O68" s="236"/>
    </row>
    <row r="69" spans="4:15" x14ac:dyDescent="0.25">
      <c r="D69" s="236"/>
      <c r="E69" s="236"/>
      <c r="F69" s="236"/>
      <c r="G69" s="242"/>
      <c r="H69" s="242"/>
      <c r="I69" s="242"/>
      <c r="J69" s="242"/>
      <c r="K69" s="246"/>
      <c r="L69" s="246"/>
      <c r="M69" s="246"/>
      <c r="N69" s="246"/>
      <c r="O69" s="236"/>
    </row>
    <row r="70" spans="4:15" hidden="1" x14ac:dyDescent="0.25">
      <c r="D70" s="236"/>
      <c r="E70" s="236"/>
      <c r="F70" s="236"/>
      <c r="G70" s="242" t="s">
        <v>364</v>
      </c>
      <c r="H70" s="242"/>
      <c r="I70" s="242"/>
      <c r="J70" s="242"/>
      <c r="K70" s="251"/>
      <c r="L70" s="256">
        <f>IF(INDEX(tblSimulationOutcomes[[ContrExit::RepRateNomDD]:[ContrExit::RepRateNomDD]],L$1)=0,INDEX(tblSimulationOutcomes[[Contr::RepRateNomDD]:[Contr::RepRateNomDD]],L$1), "-")</f>
        <v>0</v>
      </c>
      <c r="M70" s="257"/>
      <c r="N70" s="256">
        <f>IF(INDEX(tblSimulationOutcomes[[ContrExit::RepRateNomDD]:[ContrExit::RepRateNomDD]],N$1)=0,INDEX(tblSimulationOutcomes[[Contr::RepRateNomDD]:[Contr::RepRateNomDD]],N$1), "-")</f>
        <v>0</v>
      </c>
      <c r="O70" s="236"/>
    </row>
    <row r="71" spans="4:15" hidden="1" x14ac:dyDescent="0.25">
      <c r="D71" s="236"/>
      <c r="E71" s="236"/>
      <c r="F71" s="236"/>
      <c r="G71" s="242" t="s">
        <v>365</v>
      </c>
      <c r="H71" s="242"/>
      <c r="I71" s="242"/>
      <c r="J71" s="242"/>
      <c r="K71" s="251"/>
      <c r="L71" s="250">
        <f>IF(INDEX(tblSimulationOutcomes[[PAExit::RepRateNomDD]:[PAExit::RepRateNomDD]],L$1)=0,ROUND(12*INDEX(tblSimulationOutcomes[[PA::RepRateNomDD]:[PA::RepRateNomDD]],L$1),0), "-")</f>
        <v>0</v>
      </c>
      <c r="M71" s="251"/>
      <c r="N71" s="250">
        <f>IF(INDEX(tblSimulationOutcomes[[PAExit::PensionIncRealAnnuity]:[PAExit::PensionIncRealAnnuity]],N$1)=0,ROUND(12*INDEX(tblSimulationOutcomes[[PA::PensionIncRealAnnuity]:[PA::PensionIncRealAnnuity]],N$1),0), "-")</f>
        <v>0</v>
      </c>
      <c r="O71" s="236"/>
    </row>
    <row r="72" spans="4:15" hidden="1" x14ac:dyDescent="0.25">
      <c r="D72" s="236"/>
      <c r="E72" s="236"/>
      <c r="F72" s="236"/>
      <c r="G72" s="236"/>
      <c r="H72" s="236"/>
      <c r="I72" s="236"/>
      <c r="J72" s="236"/>
      <c r="K72" s="236"/>
      <c r="L72" s="236"/>
      <c r="M72" s="236"/>
      <c r="N72" s="236"/>
      <c r="O72" s="236"/>
    </row>
    <row r="73" spans="4:15" x14ac:dyDescent="0.25">
      <c r="D73" s="233"/>
      <c r="E73" s="233"/>
      <c r="F73" s="233"/>
      <c r="G73" s="233"/>
      <c r="H73" s="233"/>
      <c r="I73" s="233"/>
      <c r="J73" s="233"/>
      <c r="K73" s="233"/>
      <c r="L73" s="233"/>
      <c r="M73" s="233"/>
      <c r="N73" s="233"/>
      <c r="O73" s="233"/>
    </row>
    <row r="75" spans="4:15" x14ac:dyDescent="0.25">
      <c r="K75" s="273"/>
    </row>
    <row r="76" spans="4:15" ht="45" customHeight="1" x14ac:dyDescent="0.25"/>
    <row r="77" spans="4:15" x14ac:dyDescent="0.25">
      <c r="L77" s="274"/>
    </row>
    <row r="93" spans="6:31" ht="18.75" x14ac:dyDescent="0.3">
      <c r="F93" s="275" t="s">
        <v>135</v>
      </c>
      <c r="G93" s="275"/>
      <c r="H93" s="275"/>
      <c r="I93" s="275"/>
      <c r="J93" s="275"/>
      <c r="L93" s="276" t="s">
        <v>135</v>
      </c>
      <c r="M93" s="236"/>
      <c r="N93" s="236"/>
      <c r="O93" s="236"/>
      <c r="P93" s="236"/>
      <c r="Q93" s="236"/>
      <c r="R93" s="236"/>
      <c r="S93" s="236"/>
      <c r="T93" s="236"/>
      <c r="U93" s="236"/>
      <c r="V93" s="236"/>
      <c r="W93" s="236"/>
      <c r="X93" s="236"/>
      <c r="Y93" s="236"/>
      <c r="Z93" s="236"/>
      <c r="AA93" s="236"/>
      <c r="AB93" s="236"/>
      <c r="AC93" s="236"/>
      <c r="AD93" s="236"/>
      <c r="AE93" s="236"/>
    </row>
    <row r="94" spans="6:31" ht="18.75" x14ac:dyDescent="0.3">
      <c r="F94" s="275" t="s">
        <v>447</v>
      </c>
      <c r="G94" s="275"/>
      <c r="H94" s="275"/>
      <c r="I94" s="275"/>
      <c r="J94" s="275"/>
      <c r="L94" s="276" t="s">
        <v>448</v>
      </c>
      <c r="M94" s="236"/>
      <c r="N94" s="236"/>
      <c r="O94" s="236"/>
      <c r="P94" s="236"/>
      <c r="Q94" s="236"/>
      <c r="R94" s="236"/>
      <c r="S94" s="236"/>
      <c r="T94" s="236"/>
      <c r="U94" s="236"/>
      <c r="V94" s="236"/>
      <c r="W94" s="236"/>
      <c r="X94" s="236"/>
      <c r="Y94" s="236"/>
      <c r="Z94" s="236"/>
      <c r="AA94" s="236"/>
      <c r="AB94" s="236"/>
      <c r="AC94" s="236"/>
      <c r="AD94" s="236"/>
      <c r="AE94" s="236"/>
    </row>
    <row r="95" spans="6:31" ht="48.75" x14ac:dyDescent="0.25">
      <c r="F95" s="236" t="s">
        <v>346</v>
      </c>
      <c r="G95" s="252" t="s">
        <v>44</v>
      </c>
      <c r="H95" s="277" t="s">
        <v>265</v>
      </c>
      <c r="I95" s="277" t="s">
        <v>264</v>
      </c>
      <c r="J95" s="277" t="s">
        <v>45</v>
      </c>
      <c r="L95" s="334" t="s">
        <v>541</v>
      </c>
      <c r="M95" s="334" t="s">
        <v>257</v>
      </c>
      <c r="N95" s="334" t="s">
        <v>652</v>
      </c>
      <c r="O95" s="334" t="s">
        <v>262</v>
      </c>
      <c r="P95" s="334" t="s">
        <v>258</v>
      </c>
      <c r="Q95" s="334" t="s">
        <v>259</v>
      </c>
      <c r="R95" s="334" t="s">
        <v>260</v>
      </c>
      <c r="S95" s="334" t="s">
        <v>373</v>
      </c>
      <c r="T95" s="334" t="s">
        <v>650</v>
      </c>
      <c r="U95" s="334" t="s">
        <v>653</v>
      </c>
      <c r="V95" s="334" t="s">
        <v>533</v>
      </c>
      <c r="W95" s="334" t="s">
        <v>534</v>
      </c>
      <c r="X95" s="334" t="s">
        <v>691</v>
      </c>
      <c r="Y95" s="334" t="s">
        <v>692</v>
      </c>
      <c r="Z95" s="334" t="s">
        <v>693</v>
      </c>
      <c r="AA95" s="334" t="s">
        <v>694</v>
      </c>
      <c r="AB95" s="334" t="s">
        <v>695</v>
      </c>
      <c r="AC95" s="334" t="s">
        <v>696</v>
      </c>
      <c r="AD95" s="334" t="s">
        <v>697</v>
      </c>
      <c r="AE95" s="334" t="s">
        <v>266</v>
      </c>
    </row>
    <row r="96" spans="6:31" x14ac:dyDescent="0.25">
      <c r="F96" s="278">
        <f t="shared" ref="F96:F101" si="0">INDEX(ReportYTR,ROW()-ROW(F$95))</f>
        <v>5</v>
      </c>
      <c r="G96" s="279">
        <f>MMULT(INDEX(ReportAssetWeightsBaseline,ROW()-ROW(G$95),1):INDEX(ReportAssetWeightsBaseline,ROW()-ROW(G$95),NumberOfAssets),INT(INDEX(tblAssetMenuSpecs[IsEquities],1):(INDEX(tblAssetMenuSpecs[IsEquities],NumberOfAssets))))</f>
        <v>0</v>
      </c>
      <c r="H96" s="279">
        <f>MMULT(INDEX(ReportAssetWeightsBaseline,ROW()-ROW(H$95),1):INDEX(ReportAssetWeightsBaseline,ROW()-ROW(H$95),NumberOfAssets),INT(INDEX(tblAssetMenuSpecs[IsRealEstate],1):(INDEX(tblAssetMenuSpecs[IsRealEstate],NumberOfAssets))))</f>
        <v>0</v>
      </c>
      <c r="I96" s="279">
        <f>MMULT(INDEX(ReportAssetWeightsBaseline,ROW()-ROW(I$95),1):INDEX(ReportAssetWeightsBaseline,ROW()-ROW(I$95),NumberOfAssets),INT(INDEX(tblAssetMenuSpecs[IsAlternatives],1):(INDEX(tblAssetMenuSpecs[IsAlternatives],NumberOfAssets))))</f>
        <v>0</v>
      </c>
      <c r="J96" s="279">
        <f>MMULT(INDEX(ReportAssetWeightsBaseline,ROW()-ROW(J$95),1):INDEX(ReportAssetWeightsBaseline,ROW()-ROW(J$95),NumberOfAssets),INT(INDEX(tblAssetMenuSpecs[IsFixedIncome],1):(INDEX(tblAssetMenuSpecs[IsFixedIncome],NumberOfAssets))))</f>
        <v>1</v>
      </c>
      <c r="L96" s="280">
        <f>MMULT(INDEX(ReportAssetWeightsBaseline,ROW()-ROW(G$95),1):INDEX(ReportAssetWeightsBaseline,ROW()-ROW(G$95),NumberOfAssets),INT(INDEX(tblAssetMenuSpecs[Is Equities EU],1):(INDEX(tblAssetMenuSpecs[Is Equities EU],NumberOfAssets))))</f>
        <v>0</v>
      </c>
      <c r="M96" s="280">
        <f>MMULT(INDEX(ReportAssetWeightsBaseline,ROW()-ROW(H$95),1):INDEX(ReportAssetWeightsBaseline,ROW()-ROW(H$95),NumberOfAssets),INT(INDEX(tblAssetMenuSpecs[Is Equities US],1):(INDEX(tblAssetMenuSpecs[Is Equities US],NumberOfAssets))))</f>
        <v>0</v>
      </c>
      <c r="N96" s="280">
        <f>MMULT(INDEX(ReportAssetWeightsBaseline,ROW()-ROW(I$95),1):INDEX(ReportAssetWeightsBaseline,ROW()-ROW(I$95),NumberOfAssets),INT(INDEX(tblAssetMenuSpecs[Is Equities Other Developed Markets],1):(INDEX(tblAssetMenuSpecs[Is Equities Other Developed Markets],NumberOfAssets))))</f>
        <v>0</v>
      </c>
      <c r="O96" s="280">
        <f>MMULT(INDEX(ReportAssetWeightsBaseline,ROW()-ROW(J$95),1):INDEX(ReportAssetWeightsBaseline,ROW()-ROW(J$95),NumberOfAssets),INT(INDEX(tblAssetMenuSpecs[Is Equities Emerging Markets],1):(INDEX(tblAssetMenuSpecs[Is Equities Emerging Markets],NumberOfAssets))))</f>
        <v>0</v>
      </c>
      <c r="P96" s="280">
        <f>MMULT(INDEX(ReportAssetWeightsBaseline,ROW()-ROW(K$95),1):INDEX(ReportAssetWeightsBaseline,ROW()-ROW(K$95),NumberOfAssets),INT(INDEX(tblAssetMenuSpecs[Is Commodities],1):(INDEX(tblAssetMenuSpecs[Is Commodities],NumberOfAssets))))</f>
        <v>0</v>
      </c>
      <c r="Q96" s="280">
        <f>MMULT(INDEX(ReportAssetWeightsBaseline,ROW()-ROW(L$95),1):INDEX(ReportAssetWeightsBaseline,ROW()-ROW(L$95),NumberOfAssets),INT(INDEX(tblAssetMenuSpecs[Is Private Equity],1):(INDEX(tblAssetMenuSpecs[Is Private Equity],NumberOfAssets))))</f>
        <v>0</v>
      </c>
      <c r="R96" s="280">
        <f>MMULT(INDEX(ReportAssetWeightsBaseline,ROW()-ROW(M$95),1):INDEX(ReportAssetWeightsBaseline,ROW()-ROW(M$95),NumberOfAssets),INT(INDEX(tblAssetMenuSpecs[Is Hedge Funds],1):(INDEX(tblAssetMenuSpecs[Is Hedge Funds],NumberOfAssets))))</f>
        <v>0</v>
      </c>
      <c r="S96" s="280">
        <f>MMULT(INDEX(ReportAssetWeightsBaseline,ROW()-ROW(N$95),1):INDEX(ReportAssetWeightsBaseline,ROW()-ROW(N$95),NumberOfAssets),INT(INDEX(tblAssetMenuSpecs[Is Real Estate EU],1):(INDEX(tblAssetMenuSpecs[Is Real Estate EU],NumberOfAssets))))</f>
        <v>0</v>
      </c>
      <c r="T96" s="280">
        <f>MMULT(INDEX(ReportAssetWeightsBaseline,ROW()-ROW(O$95),1):INDEX(ReportAssetWeightsBaseline,ROW()-ROW(O$95),NumberOfAssets),INT(INDEX(tblAssetMenuSpecs[Is Real Estate US],1):(INDEX(tblAssetMenuSpecs[Is Real Estate US],NumberOfAssets))))</f>
        <v>0</v>
      </c>
      <c r="U96" s="280">
        <f>MMULT(INDEX(ReportAssetWeightsBaseline,ROW()-ROW(P$95),1):INDEX(ReportAssetWeightsBaseline,ROW()-ROW(P$95),NumberOfAssets),INT(INDEX(tblAssetMenuSpecs[Is Real Estate Other Developed Markets],1):(INDEX(tblAssetMenuSpecs[Is Real Estate Other Developed Markets],NumberOfAssets))))</f>
        <v>0</v>
      </c>
      <c r="V96" s="280">
        <f>MMULT(INDEX(ReportAssetWeightsBaseline,ROW()-ROW(Q$95),1):INDEX(ReportAssetWeightsBaseline,ROW()-ROW(Q$95),NumberOfAssets),INT(INDEX(tblAssetMenuSpecs[Is Real Estate Commercial EU (non-leveraged)],1):(INDEX(tblAssetMenuSpecs[Is Real Estate Commercial EU (non-leveraged)],NumberOfAssets))))</f>
        <v>0</v>
      </c>
      <c r="W96" s="280">
        <f>MMULT(INDEX(ReportAssetWeightsBaseline,ROW()-ROW(R$95),1):INDEX(ReportAssetWeightsBaseline,ROW()-ROW(R$95),NumberOfAssets),INT(INDEX(tblAssetMenuSpecs[Is Real Estate Residential EU (non-leveraged)],1):(INDEX(tblAssetMenuSpecs[Is Real Estate Residential EU (non-leveraged)],NumberOfAssets))))</f>
        <v>0</v>
      </c>
      <c r="X96" s="280">
        <f>MMULT(INDEX(ReportAssetWeightsBaseline,ROW()-ROW(S$95),1):INDEX(ReportAssetWeightsBaseline,ROW()-ROW(S$95),NumberOfAssets),INT(INDEX(tblAssetMenuSpecs[Is Government Bond EU],1):(INDEX(tblAssetMenuSpecs[Is Government Bond EU],NumberOfAssets))))</f>
        <v>0</v>
      </c>
      <c r="Y96" s="280">
        <f>MMULT(INDEX(ReportAssetWeightsBaseline,ROW()-ROW(T$95),1):INDEX(ReportAssetWeightsBaseline,ROW()-ROW(T$95),NumberOfAssets),INT(INDEX(tblAssetMenuSpecs[Is Government Bond US],1):(INDEX(tblAssetMenuSpecs[Is Government Bond US],NumberOfAssets))))</f>
        <v>0</v>
      </c>
      <c r="Z96" s="280">
        <f>MMULT(INDEX(ReportAssetWeightsBaseline,ROW()-ROW(U$95),1):INDEX(ReportAssetWeightsBaseline,ROW()-ROW(U$95),NumberOfAssets),INT(INDEX(tblAssetMenuSpecs[Is Government Bond Other Developed Markets],1):(INDEX(tblAssetMenuSpecs[Is Government Bond Other Developed Markets],NumberOfAssets))))</f>
        <v>0</v>
      </c>
      <c r="AA96" s="280">
        <f>MMULT(INDEX(ReportAssetWeightsBaseline,ROW()-ROW(V$95),1):INDEX(ReportAssetWeightsBaseline,ROW()-ROW(V$95),NumberOfAssets),INT(INDEX(tblAssetMenuSpecs[Is Government Bond Emerging Markets],1):(INDEX(tblAssetMenuSpecs[Is Government Bond Emerging Markets],NumberOfAssets))))</f>
        <v>0</v>
      </c>
      <c r="AB96" s="280">
        <f>MMULT(INDEX(ReportAssetWeightsBaseline,ROW()-ROW(W$95),1):INDEX(ReportAssetWeightsBaseline,ROW()-ROW(W$95),NumberOfAssets),INT(INDEX(tblAssetMenuSpecs[Is Corporate Bond],1):(INDEX(tblAssetMenuSpecs[Is Corporate Bond],NumberOfAssets))))</f>
        <v>0</v>
      </c>
      <c r="AC96" s="280">
        <f>MMULT(INDEX(ReportAssetWeightsBaseline,ROW()-ROW(X$95),1):INDEX(ReportAssetWeightsBaseline,ROW()-ROW(X$95),NumberOfAssets),INT(INDEX(tblAssetMenuSpecs[Is Corporate Bond Non-Financial],1):(INDEX(tblAssetMenuSpecs[Is Corporate Bond Non-Financial],NumberOfAssets))))</f>
        <v>0</v>
      </c>
      <c r="AD96" s="280">
        <f>MMULT(INDEX(ReportAssetWeightsBaseline,ROW()-ROW(Y$95),1):INDEX(ReportAssetWeightsBaseline,ROW()-ROW(Y$95),NumberOfAssets),INT(INDEX(tblAssetMenuSpecs[Is Corporate Bond Financial],1):(INDEX(tblAssetMenuSpecs[Is Corporate Bond Financial],NumberOfAssets))))</f>
        <v>0</v>
      </c>
      <c r="AE96" s="280">
        <f>MMULT(INDEX(ReportAssetWeightsBaseline,ROW()-ROW(Z$95),1):INDEX(ReportAssetWeightsBaseline,ROW()-ROW(Z$95),NumberOfAssets),INT(INDEX(tblAssetMenuSpecs[Is Cash and Deposits],1):(INDEX(tblAssetMenuSpecs[Is Cash and Deposits],NumberOfAssets))))</f>
        <v>1</v>
      </c>
    </row>
    <row r="97" spans="6:31" x14ac:dyDescent="0.25">
      <c r="F97" s="278">
        <f t="shared" si="0"/>
        <v>4</v>
      </c>
      <c r="G97" s="279">
        <f>MMULT(INDEX(ReportAssetWeightsBaseline,ROW()-ROW(G$95),1):INDEX(ReportAssetWeightsBaseline,ROW()-ROW(G$95),NumberOfAssets),INT(INDEX(tblAssetMenuSpecs[IsEquities],1):(INDEX(tblAssetMenuSpecs[IsEquities],NumberOfAssets))))</f>
        <v>0</v>
      </c>
      <c r="H97" s="279">
        <f>MMULT(INDEX(ReportAssetWeightsBaseline,ROW()-ROW(H$95),1):INDEX(ReportAssetWeightsBaseline,ROW()-ROW(H$95),NumberOfAssets),INT(INDEX(tblAssetMenuSpecs[IsRealEstate],1):(INDEX(tblAssetMenuSpecs[IsRealEstate],NumberOfAssets))))</f>
        <v>0</v>
      </c>
      <c r="I97" s="279">
        <f>MMULT(INDEX(ReportAssetWeightsBaseline,ROW()-ROW(I$95),1):INDEX(ReportAssetWeightsBaseline,ROW()-ROW(I$95),NumberOfAssets),INT(INDEX(tblAssetMenuSpecs[IsAlternatives],1):(INDEX(tblAssetMenuSpecs[IsAlternatives],NumberOfAssets))))</f>
        <v>0</v>
      </c>
      <c r="J97" s="279">
        <f>MMULT(INDEX(ReportAssetWeightsBaseline,ROW()-ROW(J$95),1):INDEX(ReportAssetWeightsBaseline,ROW()-ROW(J$95),NumberOfAssets),INT(INDEX(tblAssetMenuSpecs[IsFixedIncome],1):(INDEX(tblAssetMenuSpecs[IsFixedIncome],NumberOfAssets))))</f>
        <v>1</v>
      </c>
      <c r="L97" s="280">
        <f>MMULT(INDEX(ReportAssetWeightsBaseline,ROW()-ROW(G$95),1):INDEX(ReportAssetWeightsBaseline,ROW()-ROW(G$95),NumberOfAssets),INT(INDEX(tblAssetMenuSpecs[Is Equities EU],1):(INDEX(tblAssetMenuSpecs[Is Equities EU],NumberOfAssets))))</f>
        <v>0</v>
      </c>
      <c r="M97" s="280">
        <f>MMULT(INDEX(ReportAssetWeightsBaseline,ROW()-ROW(H$95),1):INDEX(ReportAssetWeightsBaseline,ROW()-ROW(H$95),NumberOfAssets),INT(INDEX(tblAssetMenuSpecs[Is Equities US],1):(INDEX(tblAssetMenuSpecs[Is Equities US],NumberOfAssets))))</f>
        <v>0</v>
      </c>
      <c r="N97" s="280">
        <f>MMULT(INDEX(ReportAssetWeightsBaseline,ROW()-ROW(I$95),1):INDEX(ReportAssetWeightsBaseline,ROW()-ROW(I$95),NumberOfAssets),INT(INDEX(tblAssetMenuSpecs[Is Equities Other Developed Markets],1):(INDEX(tblAssetMenuSpecs[Is Equities Other Developed Markets],NumberOfAssets))))</f>
        <v>0</v>
      </c>
      <c r="O97" s="280">
        <f>MMULT(INDEX(ReportAssetWeightsBaseline,ROW()-ROW(J$95),1):INDEX(ReportAssetWeightsBaseline,ROW()-ROW(J$95),NumberOfAssets),INT(INDEX(tblAssetMenuSpecs[Is Equities Emerging Markets],1):(INDEX(tblAssetMenuSpecs[Is Equities Emerging Markets],NumberOfAssets))))</f>
        <v>0</v>
      </c>
      <c r="P97" s="280">
        <f>MMULT(INDEX(ReportAssetWeightsBaseline,ROW()-ROW(K$95),1):INDEX(ReportAssetWeightsBaseline,ROW()-ROW(K$95),NumberOfAssets),INT(INDEX(tblAssetMenuSpecs[Is Commodities],1):(INDEX(tblAssetMenuSpecs[Is Commodities],NumberOfAssets))))</f>
        <v>0</v>
      </c>
      <c r="Q97" s="280">
        <f>MMULT(INDEX(ReportAssetWeightsBaseline,ROW()-ROW(L$95),1):INDEX(ReportAssetWeightsBaseline,ROW()-ROW(L$95),NumberOfAssets),INT(INDEX(tblAssetMenuSpecs[Is Private Equity],1):(INDEX(tblAssetMenuSpecs[Is Private Equity],NumberOfAssets))))</f>
        <v>0</v>
      </c>
      <c r="R97" s="280">
        <f>MMULT(INDEX(ReportAssetWeightsBaseline,ROW()-ROW(M$95),1):INDEX(ReportAssetWeightsBaseline,ROW()-ROW(M$95),NumberOfAssets),INT(INDEX(tblAssetMenuSpecs[Is Hedge Funds],1):(INDEX(tblAssetMenuSpecs[Is Hedge Funds],NumberOfAssets))))</f>
        <v>0</v>
      </c>
      <c r="S97" s="280">
        <f>MMULT(INDEX(ReportAssetWeightsBaseline,ROW()-ROW(N$95),1):INDEX(ReportAssetWeightsBaseline,ROW()-ROW(N$95),NumberOfAssets),INT(INDEX(tblAssetMenuSpecs[Is Real Estate EU],1):(INDEX(tblAssetMenuSpecs[Is Real Estate EU],NumberOfAssets))))</f>
        <v>0</v>
      </c>
      <c r="T97" s="280">
        <f>MMULT(INDEX(ReportAssetWeightsBaseline,ROW()-ROW(O$95),1):INDEX(ReportAssetWeightsBaseline,ROW()-ROW(O$95),NumberOfAssets),INT(INDEX(tblAssetMenuSpecs[Is Real Estate US],1):(INDEX(tblAssetMenuSpecs[Is Real Estate US],NumberOfAssets))))</f>
        <v>0</v>
      </c>
      <c r="U97" s="280">
        <f>MMULT(INDEX(ReportAssetWeightsBaseline,ROW()-ROW(P$95),1):INDEX(ReportAssetWeightsBaseline,ROW()-ROW(P$95),NumberOfAssets),INT(INDEX(tblAssetMenuSpecs[Is Real Estate Other Developed Markets],1):(INDEX(tblAssetMenuSpecs[Is Real Estate Other Developed Markets],NumberOfAssets))))</f>
        <v>0</v>
      </c>
      <c r="V97" s="280">
        <f>MMULT(INDEX(ReportAssetWeightsBaseline,ROW()-ROW(Q$95),1):INDEX(ReportAssetWeightsBaseline,ROW()-ROW(Q$95),NumberOfAssets),INT(INDEX(tblAssetMenuSpecs[Is Real Estate Commercial EU (non-leveraged)],1):(INDEX(tblAssetMenuSpecs[Is Real Estate Commercial EU (non-leveraged)],NumberOfAssets))))</f>
        <v>0</v>
      </c>
      <c r="W97" s="280">
        <f>MMULT(INDEX(ReportAssetWeightsBaseline,ROW()-ROW(R$95),1):INDEX(ReportAssetWeightsBaseline,ROW()-ROW(R$95),NumberOfAssets),INT(INDEX(tblAssetMenuSpecs[Is Real Estate Residential EU (non-leveraged)],1):(INDEX(tblAssetMenuSpecs[Is Real Estate Residential EU (non-leveraged)],NumberOfAssets))))</f>
        <v>0</v>
      </c>
      <c r="X97" s="280">
        <f>MMULT(INDEX(ReportAssetWeightsBaseline,ROW()-ROW(S$95),1):INDEX(ReportAssetWeightsBaseline,ROW()-ROW(S$95),NumberOfAssets),INT(INDEX(tblAssetMenuSpecs[Is Government Bond EU],1):(INDEX(tblAssetMenuSpecs[Is Government Bond EU],NumberOfAssets))))</f>
        <v>0</v>
      </c>
      <c r="Y97" s="280">
        <f>MMULT(INDEX(ReportAssetWeightsBaseline,ROW()-ROW(T$95),1):INDEX(ReportAssetWeightsBaseline,ROW()-ROW(T$95),NumberOfAssets),INT(INDEX(tblAssetMenuSpecs[Is Government Bond US],1):(INDEX(tblAssetMenuSpecs[Is Government Bond US],NumberOfAssets))))</f>
        <v>0</v>
      </c>
      <c r="Z97" s="280">
        <f>MMULT(INDEX(ReportAssetWeightsBaseline,ROW()-ROW(U$95),1):INDEX(ReportAssetWeightsBaseline,ROW()-ROW(U$95),NumberOfAssets),INT(INDEX(tblAssetMenuSpecs[Is Government Bond Other Developed Markets],1):(INDEX(tblAssetMenuSpecs[Is Government Bond Other Developed Markets],NumberOfAssets))))</f>
        <v>0</v>
      </c>
      <c r="AA97" s="280">
        <f>MMULT(INDEX(ReportAssetWeightsBaseline,ROW()-ROW(V$95),1):INDEX(ReportAssetWeightsBaseline,ROW()-ROW(V$95),NumberOfAssets),INT(INDEX(tblAssetMenuSpecs[Is Government Bond Emerging Markets],1):(INDEX(tblAssetMenuSpecs[Is Government Bond Emerging Markets],NumberOfAssets))))</f>
        <v>0</v>
      </c>
      <c r="AB97" s="280">
        <f>MMULT(INDEX(ReportAssetWeightsBaseline,ROW()-ROW(W$95),1):INDEX(ReportAssetWeightsBaseline,ROW()-ROW(W$95),NumberOfAssets),INT(INDEX(tblAssetMenuSpecs[Is Corporate Bond],1):(INDEX(tblAssetMenuSpecs[Is Corporate Bond],NumberOfAssets))))</f>
        <v>0</v>
      </c>
      <c r="AC97" s="280">
        <f>MMULT(INDEX(ReportAssetWeightsBaseline,ROW()-ROW(X$95),1):INDEX(ReportAssetWeightsBaseline,ROW()-ROW(X$95),NumberOfAssets),INT(INDEX(tblAssetMenuSpecs[Is Corporate Bond Non-Financial],1):(INDEX(tblAssetMenuSpecs[Is Corporate Bond Non-Financial],NumberOfAssets))))</f>
        <v>0</v>
      </c>
      <c r="AD97" s="280">
        <f>MMULT(INDEX(ReportAssetWeightsBaseline,ROW()-ROW(Y$95),1):INDEX(ReportAssetWeightsBaseline,ROW()-ROW(Y$95),NumberOfAssets),INT(INDEX(tblAssetMenuSpecs[Is Corporate Bond Financial],1):(INDEX(tblAssetMenuSpecs[Is Corporate Bond Financial],NumberOfAssets))))</f>
        <v>0</v>
      </c>
      <c r="AE97" s="280">
        <f>MMULT(INDEX(ReportAssetWeightsBaseline,ROW()-ROW(Z$95),1):INDEX(ReportAssetWeightsBaseline,ROW()-ROW(Z$95),NumberOfAssets),INT(INDEX(tblAssetMenuSpecs[Is Cash and Deposits],1):(INDEX(tblAssetMenuSpecs[Is Cash and Deposits],NumberOfAssets))))</f>
        <v>1</v>
      </c>
    </row>
    <row r="98" spans="6:31" x14ac:dyDescent="0.25">
      <c r="F98" s="278">
        <f t="shared" si="0"/>
        <v>3</v>
      </c>
      <c r="G98" s="279">
        <f>MMULT(INDEX(ReportAssetWeightsBaseline,ROW()-ROW(G$95),1):INDEX(ReportAssetWeightsBaseline,ROW()-ROW(G$95),NumberOfAssets),INT(INDEX(tblAssetMenuSpecs[IsEquities],1):(INDEX(tblAssetMenuSpecs[IsEquities],NumberOfAssets))))</f>
        <v>0</v>
      </c>
      <c r="H98" s="279">
        <f>MMULT(INDEX(ReportAssetWeightsBaseline,ROW()-ROW(H$95),1):INDEX(ReportAssetWeightsBaseline,ROW()-ROW(H$95),NumberOfAssets),INT(INDEX(tblAssetMenuSpecs[IsRealEstate],1):(INDEX(tblAssetMenuSpecs[IsRealEstate],NumberOfAssets))))</f>
        <v>0</v>
      </c>
      <c r="I98" s="279">
        <f>MMULT(INDEX(ReportAssetWeightsBaseline,ROW()-ROW(I$95),1):INDEX(ReportAssetWeightsBaseline,ROW()-ROW(I$95),NumberOfAssets),INT(INDEX(tblAssetMenuSpecs[IsAlternatives],1):(INDEX(tblAssetMenuSpecs[IsAlternatives],NumberOfAssets))))</f>
        <v>0</v>
      </c>
      <c r="J98" s="279">
        <f>MMULT(INDEX(ReportAssetWeightsBaseline,ROW()-ROW(J$95),1):INDEX(ReportAssetWeightsBaseline,ROW()-ROW(J$95),NumberOfAssets),INT(INDEX(tblAssetMenuSpecs[IsFixedIncome],1):(INDEX(tblAssetMenuSpecs[IsFixedIncome],NumberOfAssets))))</f>
        <v>1</v>
      </c>
      <c r="L98" s="280">
        <f>MMULT(INDEX(ReportAssetWeightsBaseline,ROW()-ROW(G$95),1):INDEX(ReportAssetWeightsBaseline,ROW()-ROW(G$95),NumberOfAssets),INT(INDEX(tblAssetMenuSpecs[Is Equities EU],1):(INDEX(tblAssetMenuSpecs[Is Equities EU],NumberOfAssets))))</f>
        <v>0</v>
      </c>
      <c r="M98" s="280">
        <f>MMULT(INDEX(ReportAssetWeightsBaseline,ROW()-ROW(H$95),1):INDEX(ReportAssetWeightsBaseline,ROW()-ROW(H$95),NumberOfAssets),INT(INDEX(tblAssetMenuSpecs[Is Equities US],1):(INDEX(tblAssetMenuSpecs[Is Equities US],NumberOfAssets))))</f>
        <v>0</v>
      </c>
      <c r="N98" s="280">
        <f>MMULT(INDEX(ReportAssetWeightsBaseline,ROW()-ROW(I$95),1):INDEX(ReportAssetWeightsBaseline,ROW()-ROW(I$95),NumberOfAssets),INT(INDEX(tblAssetMenuSpecs[Is Equities Other Developed Markets],1):(INDEX(tblAssetMenuSpecs[Is Equities Other Developed Markets],NumberOfAssets))))</f>
        <v>0</v>
      </c>
      <c r="O98" s="280">
        <f>MMULT(INDEX(ReportAssetWeightsBaseline,ROW()-ROW(J$95),1):INDEX(ReportAssetWeightsBaseline,ROW()-ROW(J$95),NumberOfAssets),INT(INDEX(tblAssetMenuSpecs[Is Equities Emerging Markets],1):(INDEX(tblAssetMenuSpecs[Is Equities Emerging Markets],NumberOfAssets))))</f>
        <v>0</v>
      </c>
      <c r="P98" s="280">
        <f>MMULT(INDEX(ReportAssetWeightsBaseline,ROW()-ROW(K$95),1):INDEX(ReportAssetWeightsBaseline,ROW()-ROW(K$95),NumberOfAssets),INT(INDEX(tblAssetMenuSpecs[Is Commodities],1):(INDEX(tblAssetMenuSpecs[Is Commodities],NumberOfAssets))))</f>
        <v>0</v>
      </c>
      <c r="Q98" s="280">
        <f>MMULT(INDEX(ReportAssetWeightsBaseline,ROW()-ROW(L$95),1):INDEX(ReportAssetWeightsBaseline,ROW()-ROW(L$95),NumberOfAssets),INT(INDEX(tblAssetMenuSpecs[Is Private Equity],1):(INDEX(tblAssetMenuSpecs[Is Private Equity],NumberOfAssets))))</f>
        <v>0</v>
      </c>
      <c r="R98" s="280">
        <f>MMULT(INDEX(ReportAssetWeightsBaseline,ROW()-ROW(M$95),1):INDEX(ReportAssetWeightsBaseline,ROW()-ROW(M$95),NumberOfAssets),INT(INDEX(tblAssetMenuSpecs[Is Hedge Funds],1):(INDEX(tblAssetMenuSpecs[Is Hedge Funds],NumberOfAssets))))</f>
        <v>0</v>
      </c>
      <c r="S98" s="280">
        <f>MMULT(INDEX(ReportAssetWeightsBaseline,ROW()-ROW(N$95),1):INDEX(ReportAssetWeightsBaseline,ROW()-ROW(N$95),NumberOfAssets),INT(INDEX(tblAssetMenuSpecs[Is Real Estate EU],1):(INDEX(tblAssetMenuSpecs[Is Real Estate EU],NumberOfAssets))))</f>
        <v>0</v>
      </c>
      <c r="T98" s="280">
        <f>MMULT(INDEX(ReportAssetWeightsBaseline,ROW()-ROW(O$95),1):INDEX(ReportAssetWeightsBaseline,ROW()-ROW(O$95),NumberOfAssets),INT(INDEX(tblAssetMenuSpecs[Is Real Estate US],1):(INDEX(tblAssetMenuSpecs[Is Real Estate US],NumberOfAssets))))</f>
        <v>0</v>
      </c>
      <c r="U98" s="280">
        <f>MMULT(INDEX(ReportAssetWeightsBaseline,ROW()-ROW(P$95),1):INDEX(ReportAssetWeightsBaseline,ROW()-ROW(P$95),NumberOfAssets),INT(INDEX(tblAssetMenuSpecs[Is Real Estate Other Developed Markets],1):(INDEX(tblAssetMenuSpecs[Is Real Estate Other Developed Markets],NumberOfAssets))))</f>
        <v>0</v>
      </c>
      <c r="V98" s="280">
        <f>MMULT(INDEX(ReportAssetWeightsBaseline,ROW()-ROW(Q$95),1):INDEX(ReportAssetWeightsBaseline,ROW()-ROW(Q$95),NumberOfAssets),INT(INDEX(tblAssetMenuSpecs[Is Real Estate Commercial EU (non-leveraged)],1):(INDEX(tblAssetMenuSpecs[Is Real Estate Commercial EU (non-leveraged)],NumberOfAssets))))</f>
        <v>0</v>
      </c>
      <c r="W98" s="280">
        <f>MMULT(INDEX(ReportAssetWeightsBaseline,ROW()-ROW(R$95),1):INDEX(ReportAssetWeightsBaseline,ROW()-ROW(R$95),NumberOfAssets),INT(INDEX(tblAssetMenuSpecs[Is Real Estate Residential EU (non-leveraged)],1):(INDEX(tblAssetMenuSpecs[Is Real Estate Residential EU (non-leveraged)],NumberOfAssets))))</f>
        <v>0</v>
      </c>
      <c r="X98" s="280">
        <f>MMULT(INDEX(ReportAssetWeightsBaseline,ROW()-ROW(S$95),1):INDEX(ReportAssetWeightsBaseline,ROW()-ROW(S$95),NumberOfAssets),INT(INDEX(tblAssetMenuSpecs[Is Government Bond EU],1):(INDEX(tblAssetMenuSpecs[Is Government Bond EU],NumberOfAssets))))</f>
        <v>0</v>
      </c>
      <c r="Y98" s="280">
        <f>MMULT(INDEX(ReportAssetWeightsBaseline,ROW()-ROW(T$95),1):INDEX(ReportAssetWeightsBaseline,ROW()-ROW(T$95),NumberOfAssets),INT(INDEX(tblAssetMenuSpecs[Is Government Bond US],1):(INDEX(tblAssetMenuSpecs[Is Government Bond US],NumberOfAssets))))</f>
        <v>0</v>
      </c>
      <c r="Z98" s="280">
        <f>MMULT(INDEX(ReportAssetWeightsBaseline,ROW()-ROW(U$95),1):INDEX(ReportAssetWeightsBaseline,ROW()-ROW(U$95),NumberOfAssets),INT(INDEX(tblAssetMenuSpecs[Is Government Bond Other Developed Markets],1):(INDEX(tblAssetMenuSpecs[Is Government Bond Other Developed Markets],NumberOfAssets))))</f>
        <v>0</v>
      </c>
      <c r="AA98" s="280">
        <f>MMULT(INDEX(ReportAssetWeightsBaseline,ROW()-ROW(V$95),1):INDEX(ReportAssetWeightsBaseline,ROW()-ROW(V$95),NumberOfAssets),INT(INDEX(tblAssetMenuSpecs[Is Government Bond Emerging Markets],1):(INDEX(tblAssetMenuSpecs[Is Government Bond Emerging Markets],NumberOfAssets))))</f>
        <v>0</v>
      </c>
      <c r="AB98" s="280">
        <f>MMULT(INDEX(ReportAssetWeightsBaseline,ROW()-ROW(W$95),1):INDEX(ReportAssetWeightsBaseline,ROW()-ROW(W$95),NumberOfAssets),INT(INDEX(tblAssetMenuSpecs[Is Corporate Bond],1):(INDEX(tblAssetMenuSpecs[Is Corporate Bond],NumberOfAssets))))</f>
        <v>0</v>
      </c>
      <c r="AC98" s="280">
        <f>MMULT(INDEX(ReportAssetWeightsBaseline,ROW()-ROW(X$95),1):INDEX(ReportAssetWeightsBaseline,ROW()-ROW(X$95),NumberOfAssets),INT(INDEX(tblAssetMenuSpecs[Is Corporate Bond Non-Financial],1):(INDEX(tblAssetMenuSpecs[Is Corporate Bond Non-Financial],NumberOfAssets))))</f>
        <v>0</v>
      </c>
      <c r="AD98" s="280">
        <f>MMULT(INDEX(ReportAssetWeightsBaseline,ROW()-ROW(Y$95),1):INDEX(ReportAssetWeightsBaseline,ROW()-ROW(Y$95),NumberOfAssets),INT(INDEX(tblAssetMenuSpecs[Is Corporate Bond Financial],1):(INDEX(tblAssetMenuSpecs[Is Corporate Bond Financial],NumberOfAssets))))</f>
        <v>0</v>
      </c>
      <c r="AE98" s="280">
        <f>MMULT(INDEX(ReportAssetWeightsBaseline,ROW()-ROW(Z$95),1):INDEX(ReportAssetWeightsBaseline,ROW()-ROW(Z$95),NumberOfAssets),INT(INDEX(tblAssetMenuSpecs[Is Cash and Deposits],1):(INDEX(tblAssetMenuSpecs[Is Cash and Deposits],NumberOfAssets))))</f>
        <v>1</v>
      </c>
    </row>
    <row r="99" spans="6:31" x14ac:dyDescent="0.25">
      <c r="F99" s="278">
        <f t="shared" si="0"/>
        <v>2</v>
      </c>
      <c r="G99" s="279">
        <f>MMULT(INDEX(ReportAssetWeightsBaseline,ROW()-ROW(G$95),1):INDEX(ReportAssetWeightsBaseline,ROW()-ROW(G$95),NumberOfAssets),INT(INDEX(tblAssetMenuSpecs[IsEquities],1):(INDEX(tblAssetMenuSpecs[IsEquities],NumberOfAssets))))</f>
        <v>0</v>
      </c>
      <c r="H99" s="279">
        <f>MMULT(INDEX(ReportAssetWeightsBaseline,ROW()-ROW(H$95),1):INDEX(ReportAssetWeightsBaseline,ROW()-ROW(H$95),NumberOfAssets),INT(INDEX(tblAssetMenuSpecs[IsRealEstate],1):(INDEX(tblAssetMenuSpecs[IsRealEstate],NumberOfAssets))))</f>
        <v>0</v>
      </c>
      <c r="I99" s="279">
        <f>MMULT(INDEX(ReportAssetWeightsBaseline,ROW()-ROW(I$95),1):INDEX(ReportAssetWeightsBaseline,ROW()-ROW(I$95),NumberOfAssets),INT(INDEX(tblAssetMenuSpecs[IsAlternatives],1):(INDEX(tblAssetMenuSpecs[IsAlternatives],NumberOfAssets))))</f>
        <v>0</v>
      </c>
      <c r="J99" s="279">
        <f>MMULT(INDEX(ReportAssetWeightsBaseline,ROW()-ROW(J$95),1):INDEX(ReportAssetWeightsBaseline,ROW()-ROW(J$95),NumberOfAssets),INT(INDEX(tblAssetMenuSpecs[IsFixedIncome],1):(INDEX(tblAssetMenuSpecs[IsFixedIncome],NumberOfAssets))))</f>
        <v>1</v>
      </c>
      <c r="L99" s="280">
        <f>MMULT(INDEX(ReportAssetWeightsBaseline,ROW()-ROW(G$95),1):INDEX(ReportAssetWeightsBaseline,ROW()-ROW(G$95),NumberOfAssets),INT(INDEX(tblAssetMenuSpecs[Is Equities EU],1):(INDEX(tblAssetMenuSpecs[Is Equities EU],NumberOfAssets))))</f>
        <v>0</v>
      </c>
      <c r="M99" s="280">
        <f>MMULT(INDEX(ReportAssetWeightsBaseline,ROW()-ROW(H$95),1):INDEX(ReportAssetWeightsBaseline,ROW()-ROW(H$95),NumberOfAssets),INT(INDEX(tblAssetMenuSpecs[Is Equities US],1):(INDEX(tblAssetMenuSpecs[Is Equities US],NumberOfAssets))))</f>
        <v>0</v>
      </c>
      <c r="N99" s="280">
        <f>MMULT(INDEX(ReportAssetWeightsBaseline,ROW()-ROW(I$95),1):INDEX(ReportAssetWeightsBaseline,ROW()-ROW(I$95),NumberOfAssets),INT(INDEX(tblAssetMenuSpecs[Is Equities Other Developed Markets],1):(INDEX(tblAssetMenuSpecs[Is Equities Other Developed Markets],NumberOfAssets))))</f>
        <v>0</v>
      </c>
      <c r="O99" s="280">
        <f>MMULT(INDEX(ReportAssetWeightsBaseline,ROW()-ROW(J$95),1):INDEX(ReportAssetWeightsBaseline,ROW()-ROW(J$95),NumberOfAssets),INT(INDEX(tblAssetMenuSpecs[Is Equities Emerging Markets],1):(INDEX(tblAssetMenuSpecs[Is Equities Emerging Markets],NumberOfAssets))))</f>
        <v>0</v>
      </c>
      <c r="P99" s="280">
        <f>MMULT(INDEX(ReportAssetWeightsBaseline,ROW()-ROW(K$95),1):INDEX(ReportAssetWeightsBaseline,ROW()-ROW(K$95),NumberOfAssets),INT(INDEX(tblAssetMenuSpecs[Is Commodities],1):(INDEX(tblAssetMenuSpecs[Is Commodities],NumberOfAssets))))</f>
        <v>0</v>
      </c>
      <c r="Q99" s="280">
        <f>MMULT(INDEX(ReportAssetWeightsBaseline,ROW()-ROW(L$95),1):INDEX(ReportAssetWeightsBaseline,ROW()-ROW(L$95),NumberOfAssets),INT(INDEX(tblAssetMenuSpecs[Is Private Equity],1):(INDEX(tblAssetMenuSpecs[Is Private Equity],NumberOfAssets))))</f>
        <v>0</v>
      </c>
      <c r="R99" s="280">
        <f>MMULT(INDEX(ReportAssetWeightsBaseline,ROW()-ROW(M$95),1):INDEX(ReportAssetWeightsBaseline,ROW()-ROW(M$95),NumberOfAssets),INT(INDEX(tblAssetMenuSpecs[Is Hedge Funds],1):(INDEX(tblAssetMenuSpecs[Is Hedge Funds],NumberOfAssets))))</f>
        <v>0</v>
      </c>
      <c r="S99" s="280">
        <f>MMULT(INDEX(ReportAssetWeightsBaseline,ROW()-ROW(N$95),1):INDEX(ReportAssetWeightsBaseline,ROW()-ROW(N$95),NumberOfAssets),INT(INDEX(tblAssetMenuSpecs[Is Real Estate EU],1):(INDEX(tblAssetMenuSpecs[Is Real Estate EU],NumberOfAssets))))</f>
        <v>0</v>
      </c>
      <c r="T99" s="280">
        <f>MMULT(INDEX(ReportAssetWeightsBaseline,ROW()-ROW(O$95),1):INDEX(ReportAssetWeightsBaseline,ROW()-ROW(O$95),NumberOfAssets),INT(INDEX(tblAssetMenuSpecs[Is Real Estate US],1):(INDEX(tblAssetMenuSpecs[Is Real Estate US],NumberOfAssets))))</f>
        <v>0</v>
      </c>
      <c r="U99" s="280">
        <f>MMULT(INDEX(ReportAssetWeightsBaseline,ROW()-ROW(P$95),1):INDEX(ReportAssetWeightsBaseline,ROW()-ROW(P$95),NumberOfAssets),INT(INDEX(tblAssetMenuSpecs[Is Real Estate Other Developed Markets],1):(INDEX(tblAssetMenuSpecs[Is Real Estate Other Developed Markets],NumberOfAssets))))</f>
        <v>0</v>
      </c>
      <c r="V99" s="280">
        <f>MMULT(INDEX(ReportAssetWeightsBaseline,ROW()-ROW(Q$95),1):INDEX(ReportAssetWeightsBaseline,ROW()-ROW(Q$95),NumberOfAssets),INT(INDEX(tblAssetMenuSpecs[Is Real Estate Commercial EU (non-leveraged)],1):(INDEX(tblAssetMenuSpecs[Is Real Estate Commercial EU (non-leveraged)],NumberOfAssets))))</f>
        <v>0</v>
      </c>
      <c r="W99" s="280">
        <f>MMULT(INDEX(ReportAssetWeightsBaseline,ROW()-ROW(R$95),1):INDEX(ReportAssetWeightsBaseline,ROW()-ROW(R$95),NumberOfAssets),INT(INDEX(tblAssetMenuSpecs[Is Real Estate Residential EU (non-leveraged)],1):(INDEX(tblAssetMenuSpecs[Is Real Estate Residential EU (non-leveraged)],NumberOfAssets))))</f>
        <v>0</v>
      </c>
      <c r="X99" s="280">
        <f>MMULT(INDEX(ReportAssetWeightsBaseline,ROW()-ROW(S$95),1):INDEX(ReportAssetWeightsBaseline,ROW()-ROW(S$95),NumberOfAssets),INT(INDEX(tblAssetMenuSpecs[Is Government Bond EU],1):(INDEX(tblAssetMenuSpecs[Is Government Bond EU],NumberOfAssets))))</f>
        <v>0</v>
      </c>
      <c r="Y99" s="280">
        <f>MMULT(INDEX(ReportAssetWeightsBaseline,ROW()-ROW(T$95),1):INDEX(ReportAssetWeightsBaseline,ROW()-ROW(T$95),NumberOfAssets),INT(INDEX(tblAssetMenuSpecs[Is Government Bond US],1):(INDEX(tblAssetMenuSpecs[Is Government Bond US],NumberOfAssets))))</f>
        <v>0</v>
      </c>
      <c r="Z99" s="280">
        <f>MMULT(INDEX(ReportAssetWeightsBaseline,ROW()-ROW(U$95),1):INDEX(ReportAssetWeightsBaseline,ROW()-ROW(U$95),NumberOfAssets),INT(INDEX(tblAssetMenuSpecs[Is Government Bond Other Developed Markets],1):(INDEX(tblAssetMenuSpecs[Is Government Bond Other Developed Markets],NumberOfAssets))))</f>
        <v>0</v>
      </c>
      <c r="AA99" s="280">
        <f>MMULT(INDEX(ReportAssetWeightsBaseline,ROW()-ROW(V$95),1):INDEX(ReportAssetWeightsBaseline,ROW()-ROW(V$95),NumberOfAssets),INT(INDEX(tblAssetMenuSpecs[Is Government Bond Emerging Markets],1):(INDEX(tblAssetMenuSpecs[Is Government Bond Emerging Markets],NumberOfAssets))))</f>
        <v>0</v>
      </c>
      <c r="AB99" s="280">
        <f>MMULT(INDEX(ReportAssetWeightsBaseline,ROW()-ROW(W$95),1):INDEX(ReportAssetWeightsBaseline,ROW()-ROW(W$95),NumberOfAssets),INT(INDEX(tblAssetMenuSpecs[Is Corporate Bond],1):(INDEX(tblAssetMenuSpecs[Is Corporate Bond],NumberOfAssets))))</f>
        <v>0</v>
      </c>
      <c r="AC99" s="280">
        <f>MMULT(INDEX(ReportAssetWeightsBaseline,ROW()-ROW(X$95),1):INDEX(ReportAssetWeightsBaseline,ROW()-ROW(X$95),NumberOfAssets),INT(INDEX(tblAssetMenuSpecs[Is Corporate Bond Non-Financial],1):(INDEX(tblAssetMenuSpecs[Is Corporate Bond Non-Financial],NumberOfAssets))))</f>
        <v>0</v>
      </c>
      <c r="AD99" s="280">
        <f>MMULT(INDEX(ReportAssetWeightsBaseline,ROW()-ROW(Y$95),1):INDEX(ReportAssetWeightsBaseline,ROW()-ROW(Y$95),NumberOfAssets),INT(INDEX(tblAssetMenuSpecs[Is Corporate Bond Financial],1):(INDEX(tblAssetMenuSpecs[Is Corporate Bond Financial],NumberOfAssets))))</f>
        <v>0</v>
      </c>
      <c r="AE99" s="280">
        <f>MMULT(INDEX(ReportAssetWeightsBaseline,ROW()-ROW(Z$95),1):INDEX(ReportAssetWeightsBaseline,ROW()-ROW(Z$95),NumberOfAssets),INT(INDEX(tblAssetMenuSpecs[Is Cash and Deposits],1):(INDEX(tblAssetMenuSpecs[Is Cash and Deposits],NumberOfAssets))))</f>
        <v>1</v>
      </c>
    </row>
    <row r="100" spans="6:31" x14ac:dyDescent="0.25">
      <c r="F100" s="278">
        <f t="shared" si="0"/>
        <v>1</v>
      </c>
      <c r="G100" s="279">
        <f>MMULT(INDEX(ReportAssetWeightsBaseline,ROW()-ROW(G$95),1):INDEX(ReportAssetWeightsBaseline,ROW()-ROW(G$95),NumberOfAssets),INT(INDEX(tblAssetMenuSpecs[IsEquities],1):(INDEX(tblAssetMenuSpecs[IsEquities],NumberOfAssets))))</f>
        <v>0</v>
      </c>
      <c r="H100" s="279">
        <f>MMULT(INDEX(ReportAssetWeightsBaseline,ROW()-ROW(H$95),1):INDEX(ReportAssetWeightsBaseline,ROW()-ROW(H$95),NumberOfAssets),INT(INDEX(tblAssetMenuSpecs[IsRealEstate],1):(INDEX(tblAssetMenuSpecs[IsRealEstate],NumberOfAssets))))</f>
        <v>0</v>
      </c>
      <c r="I100" s="279">
        <f>MMULT(INDEX(ReportAssetWeightsBaseline,ROW()-ROW(I$95),1):INDEX(ReportAssetWeightsBaseline,ROW()-ROW(I$95),NumberOfAssets),INT(INDEX(tblAssetMenuSpecs[IsAlternatives],1):(INDEX(tblAssetMenuSpecs[IsAlternatives],NumberOfAssets))))</f>
        <v>0</v>
      </c>
      <c r="J100" s="279">
        <f>MMULT(INDEX(ReportAssetWeightsBaseline,ROW()-ROW(J$95),1):INDEX(ReportAssetWeightsBaseline,ROW()-ROW(J$95),NumberOfAssets),INT(INDEX(tblAssetMenuSpecs[IsFixedIncome],1):(INDEX(tblAssetMenuSpecs[IsFixedIncome],NumberOfAssets))))</f>
        <v>1</v>
      </c>
      <c r="L100" s="280">
        <f>MMULT(INDEX(ReportAssetWeightsBaseline,ROW()-ROW(G$95),1):INDEX(ReportAssetWeightsBaseline,ROW()-ROW(G$95),NumberOfAssets),INT(INDEX(tblAssetMenuSpecs[Is Equities EU],1):(INDEX(tblAssetMenuSpecs[Is Equities EU],NumberOfAssets))))</f>
        <v>0</v>
      </c>
      <c r="M100" s="280">
        <f>MMULT(INDEX(ReportAssetWeightsBaseline,ROW()-ROW(H$95),1):INDEX(ReportAssetWeightsBaseline,ROW()-ROW(H$95),NumberOfAssets),INT(INDEX(tblAssetMenuSpecs[Is Equities US],1):(INDEX(tblAssetMenuSpecs[Is Equities US],NumberOfAssets))))</f>
        <v>0</v>
      </c>
      <c r="N100" s="280">
        <f>MMULT(INDEX(ReportAssetWeightsBaseline,ROW()-ROW(I$95),1):INDEX(ReportAssetWeightsBaseline,ROW()-ROW(I$95),NumberOfAssets),INT(INDEX(tblAssetMenuSpecs[Is Equities Other Developed Markets],1):(INDEX(tblAssetMenuSpecs[Is Equities Other Developed Markets],NumberOfAssets))))</f>
        <v>0</v>
      </c>
      <c r="O100" s="280">
        <f>MMULT(INDEX(ReportAssetWeightsBaseline,ROW()-ROW(J$95),1):INDEX(ReportAssetWeightsBaseline,ROW()-ROW(J$95),NumberOfAssets),INT(INDEX(tblAssetMenuSpecs[Is Equities Emerging Markets],1):(INDEX(tblAssetMenuSpecs[Is Equities Emerging Markets],NumberOfAssets))))</f>
        <v>0</v>
      </c>
      <c r="P100" s="280">
        <f>MMULT(INDEX(ReportAssetWeightsBaseline,ROW()-ROW(K$95),1):INDEX(ReportAssetWeightsBaseline,ROW()-ROW(K$95),NumberOfAssets),INT(INDEX(tblAssetMenuSpecs[Is Commodities],1):(INDEX(tblAssetMenuSpecs[Is Commodities],NumberOfAssets))))</f>
        <v>0</v>
      </c>
      <c r="Q100" s="280">
        <f>MMULT(INDEX(ReportAssetWeightsBaseline,ROW()-ROW(L$95),1):INDEX(ReportAssetWeightsBaseline,ROW()-ROW(L$95),NumberOfAssets),INT(INDEX(tblAssetMenuSpecs[Is Private Equity],1):(INDEX(tblAssetMenuSpecs[Is Private Equity],NumberOfAssets))))</f>
        <v>0</v>
      </c>
      <c r="R100" s="280">
        <f>MMULT(INDEX(ReportAssetWeightsBaseline,ROW()-ROW(M$95),1):INDEX(ReportAssetWeightsBaseline,ROW()-ROW(M$95),NumberOfAssets),INT(INDEX(tblAssetMenuSpecs[Is Hedge Funds],1):(INDEX(tblAssetMenuSpecs[Is Hedge Funds],NumberOfAssets))))</f>
        <v>0</v>
      </c>
      <c r="S100" s="280">
        <f>MMULT(INDEX(ReportAssetWeightsBaseline,ROW()-ROW(N$95),1):INDEX(ReportAssetWeightsBaseline,ROW()-ROW(N$95),NumberOfAssets),INT(INDEX(tblAssetMenuSpecs[Is Real Estate EU],1):(INDEX(tblAssetMenuSpecs[Is Real Estate EU],NumberOfAssets))))</f>
        <v>0</v>
      </c>
      <c r="T100" s="280">
        <f>MMULT(INDEX(ReportAssetWeightsBaseline,ROW()-ROW(O$95),1):INDEX(ReportAssetWeightsBaseline,ROW()-ROW(O$95),NumberOfAssets),INT(INDEX(tblAssetMenuSpecs[Is Real Estate US],1):(INDEX(tblAssetMenuSpecs[Is Real Estate US],NumberOfAssets))))</f>
        <v>0</v>
      </c>
      <c r="U100" s="280">
        <f>MMULT(INDEX(ReportAssetWeightsBaseline,ROW()-ROW(P$95),1):INDEX(ReportAssetWeightsBaseline,ROW()-ROW(P$95),NumberOfAssets),INT(INDEX(tblAssetMenuSpecs[Is Real Estate Other Developed Markets],1):(INDEX(tblAssetMenuSpecs[Is Real Estate Other Developed Markets],NumberOfAssets))))</f>
        <v>0</v>
      </c>
      <c r="V100" s="280">
        <f>MMULT(INDEX(ReportAssetWeightsBaseline,ROW()-ROW(Q$95),1):INDEX(ReportAssetWeightsBaseline,ROW()-ROW(Q$95),NumberOfAssets),INT(INDEX(tblAssetMenuSpecs[Is Real Estate Commercial EU (non-leveraged)],1):(INDEX(tblAssetMenuSpecs[Is Real Estate Commercial EU (non-leveraged)],NumberOfAssets))))</f>
        <v>0</v>
      </c>
      <c r="W100" s="280">
        <f>MMULT(INDEX(ReportAssetWeightsBaseline,ROW()-ROW(R$95),1):INDEX(ReportAssetWeightsBaseline,ROW()-ROW(R$95),NumberOfAssets),INT(INDEX(tblAssetMenuSpecs[Is Real Estate Residential EU (non-leveraged)],1):(INDEX(tblAssetMenuSpecs[Is Real Estate Residential EU (non-leveraged)],NumberOfAssets))))</f>
        <v>0</v>
      </c>
      <c r="X100" s="280">
        <f>MMULT(INDEX(ReportAssetWeightsBaseline,ROW()-ROW(S$95),1):INDEX(ReportAssetWeightsBaseline,ROW()-ROW(S$95),NumberOfAssets),INT(INDEX(tblAssetMenuSpecs[Is Government Bond EU],1):(INDEX(tblAssetMenuSpecs[Is Government Bond EU],NumberOfAssets))))</f>
        <v>0</v>
      </c>
      <c r="Y100" s="280">
        <f>MMULT(INDEX(ReportAssetWeightsBaseline,ROW()-ROW(T$95),1):INDEX(ReportAssetWeightsBaseline,ROW()-ROW(T$95),NumberOfAssets),INT(INDEX(tblAssetMenuSpecs[Is Government Bond US],1):(INDEX(tblAssetMenuSpecs[Is Government Bond US],NumberOfAssets))))</f>
        <v>0</v>
      </c>
      <c r="Z100" s="280">
        <f>MMULT(INDEX(ReportAssetWeightsBaseline,ROW()-ROW(U$95),1):INDEX(ReportAssetWeightsBaseline,ROW()-ROW(U$95),NumberOfAssets),INT(INDEX(tblAssetMenuSpecs[Is Government Bond Other Developed Markets],1):(INDEX(tblAssetMenuSpecs[Is Government Bond Other Developed Markets],NumberOfAssets))))</f>
        <v>0</v>
      </c>
      <c r="AA100" s="280">
        <f>MMULT(INDEX(ReportAssetWeightsBaseline,ROW()-ROW(V$95),1):INDEX(ReportAssetWeightsBaseline,ROW()-ROW(V$95),NumberOfAssets),INT(INDEX(tblAssetMenuSpecs[Is Government Bond Emerging Markets],1):(INDEX(tblAssetMenuSpecs[Is Government Bond Emerging Markets],NumberOfAssets))))</f>
        <v>0</v>
      </c>
      <c r="AB100" s="280">
        <f>MMULT(INDEX(ReportAssetWeightsBaseline,ROW()-ROW(W$95),1):INDEX(ReportAssetWeightsBaseline,ROW()-ROW(W$95),NumberOfAssets),INT(INDEX(tblAssetMenuSpecs[Is Corporate Bond],1):(INDEX(tblAssetMenuSpecs[Is Corporate Bond],NumberOfAssets))))</f>
        <v>0</v>
      </c>
      <c r="AC100" s="280">
        <f>MMULT(INDEX(ReportAssetWeightsBaseline,ROW()-ROW(X$95),1):INDEX(ReportAssetWeightsBaseline,ROW()-ROW(X$95),NumberOfAssets),INT(INDEX(tblAssetMenuSpecs[Is Corporate Bond Non-Financial],1):(INDEX(tblAssetMenuSpecs[Is Corporate Bond Non-Financial],NumberOfAssets))))</f>
        <v>0</v>
      </c>
      <c r="AD100" s="280">
        <f>MMULT(INDEX(ReportAssetWeightsBaseline,ROW()-ROW(Y$95),1):INDEX(ReportAssetWeightsBaseline,ROW()-ROW(Y$95),NumberOfAssets),INT(INDEX(tblAssetMenuSpecs[Is Corporate Bond Financial],1):(INDEX(tblAssetMenuSpecs[Is Corporate Bond Financial],NumberOfAssets))))</f>
        <v>0</v>
      </c>
      <c r="AE100" s="280">
        <f>MMULT(INDEX(ReportAssetWeightsBaseline,ROW()-ROW(Z$95),1):INDEX(ReportAssetWeightsBaseline,ROW()-ROW(Z$95),NumberOfAssets),INT(INDEX(tblAssetMenuSpecs[Is Cash and Deposits],1):(INDEX(tblAssetMenuSpecs[Is Cash and Deposits],NumberOfAssets))))</f>
        <v>1</v>
      </c>
    </row>
    <row r="101" spans="6:31" x14ac:dyDescent="0.25">
      <c r="F101" s="278">
        <f t="shared" si="0"/>
        <v>0</v>
      </c>
      <c r="G101" s="279">
        <f>MMULT(INDEX(ReportAssetWeightsBaseline,ROW()-ROW(G$95),1):INDEX(ReportAssetWeightsBaseline,ROW()-ROW(G$95),NumberOfAssets),INT(INDEX(tblAssetMenuSpecs[IsEquities],1):(INDEX(tblAssetMenuSpecs[IsEquities],NumberOfAssets))))</f>
        <v>0</v>
      </c>
      <c r="H101" s="279">
        <f>MMULT(INDEX(ReportAssetWeightsBaseline,ROW()-ROW(H$95),1):INDEX(ReportAssetWeightsBaseline,ROW()-ROW(H$95),NumberOfAssets),INT(INDEX(tblAssetMenuSpecs[IsRealEstate],1):(INDEX(tblAssetMenuSpecs[IsRealEstate],NumberOfAssets))))</f>
        <v>0</v>
      </c>
      <c r="I101" s="279">
        <f>MMULT(INDEX(ReportAssetWeightsBaseline,ROW()-ROW(I$95),1):INDEX(ReportAssetWeightsBaseline,ROW()-ROW(I$95),NumberOfAssets),INT(INDEX(tblAssetMenuSpecs[IsAlternatives],1):(INDEX(tblAssetMenuSpecs[IsAlternatives],NumberOfAssets))))</f>
        <v>0</v>
      </c>
      <c r="J101" s="279">
        <f>MMULT(INDEX(ReportAssetWeightsBaseline,ROW()-ROW(J$95),1):INDEX(ReportAssetWeightsBaseline,ROW()-ROW(J$95),NumberOfAssets),INT(INDEX(tblAssetMenuSpecs[IsFixedIncome],1):(INDEX(tblAssetMenuSpecs[IsFixedIncome],NumberOfAssets))))</f>
        <v>1</v>
      </c>
      <c r="L101" s="280">
        <f>MMULT(INDEX(ReportAssetWeightsBaseline,ROW()-ROW(G$95),1):INDEX(ReportAssetWeightsBaseline,ROW()-ROW(G$95),NumberOfAssets),INT(INDEX(tblAssetMenuSpecs[Is Equities EU],1):(INDEX(tblAssetMenuSpecs[Is Equities EU],NumberOfAssets))))</f>
        <v>0</v>
      </c>
      <c r="M101" s="280">
        <f>MMULT(INDEX(ReportAssetWeightsBaseline,ROW()-ROW(H$95),1):INDEX(ReportAssetWeightsBaseline,ROW()-ROW(H$95),NumberOfAssets),INT(INDEX(tblAssetMenuSpecs[Is Equities US],1):(INDEX(tblAssetMenuSpecs[Is Equities US],NumberOfAssets))))</f>
        <v>0</v>
      </c>
      <c r="N101" s="280">
        <f>MMULT(INDEX(ReportAssetWeightsBaseline,ROW()-ROW(I$95),1):INDEX(ReportAssetWeightsBaseline,ROW()-ROW(I$95),NumberOfAssets),INT(INDEX(tblAssetMenuSpecs[Is Equities Other Developed Markets],1):(INDEX(tblAssetMenuSpecs[Is Equities Other Developed Markets],NumberOfAssets))))</f>
        <v>0</v>
      </c>
      <c r="O101" s="280">
        <f>MMULT(INDEX(ReportAssetWeightsBaseline,ROW()-ROW(J$95),1):INDEX(ReportAssetWeightsBaseline,ROW()-ROW(J$95),NumberOfAssets),INT(INDEX(tblAssetMenuSpecs[Is Equities Emerging Markets],1):(INDEX(tblAssetMenuSpecs[Is Equities Emerging Markets],NumberOfAssets))))</f>
        <v>0</v>
      </c>
      <c r="P101" s="280">
        <f>MMULT(INDEX(ReportAssetWeightsBaseline,ROW()-ROW(K$95),1):INDEX(ReportAssetWeightsBaseline,ROW()-ROW(K$95),NumberOfAssets),INT(INDEX(tblAssetMenuSpecs[Is Commodities],1):(INDEX(tblAssetMenuSpecs[Is Commodities],NumberOfAssets))))</f>
        <v>0</v>
      </c>
      <c r="Q101" s="280">
        <f>MMULT(INDEX(ReportAssetWeightsBaseline,ROW()-ROW(L$95),1):INDEX(ReportAssetWeightsBaseline,ROW()-ROW(L$95),NumberOfAssets),INT(INDEX(tblAssetMenuSpecs[Is Private Equity],1):(INDEX(tblAssetMenuSpecs[Is Private Equity],NumberOfAssets))))</f>
        <v>0</v>
      </c>
      <c r="R101" s="280">
        <f>MMULT(INDEX(ReportAssetWeightsBaseline,ROW()-ROW(M$95),1):INDEX(ReportAssetWeightsBaseline,ROW()-ROW(M$95),NumberOfAssets),INT(INDEX(tblAssetMenuSpecs[Is Hedge Funds],1):(INDEX(tblAssetMenuSpecs[Is Hedge Funds],NumberOfAssets))))</f>
        <v>0</v>
      </c>
      <c r="S101" s="280">
        <f>MMULT(INDEX(ReportAssetWeightsBaseline,ROW()-ROW(N$95),1):INDEX(ReportAssetWeightsBaseline,ROW()-ROW(N$95),NumberOfAssets),INT(INDEX(tblAssetMenuSpecs[Is Real Estate EU],1):(INDEX(tblAssetMenuSpecs[Is Real Estate EU],NumberOfAssets))))</f>
        <v>0</v>
      </c>
      <c r="T101" s="280">
        <f>MMULT(INDEX(ReportAssetWeightsBaseline,ROW()-ROW(O$95),1):INDEX(ReportAssetWeightsBaseline,ROW()-ROW(O$95),NumberOfAssets),INT(INDEX(tblAssetMenuSpecs[Is Real Estate US],1):(INDEX(tblAssetMenuSpecs[Is Real Estate US],NumberOfAssets))))</f>
        <v>0</v>
      </c>
      <c r="U101" s="280">
        <f>MMULT(INDEX(ReportAssetWeightsBaseline,ROW()-ROW(P$95),1):INDEX(ReportAssetWeightsBaseline,ROW()-ROW(P$95),NumberOfAssets),INT(INDEX(tblAssetMenuSpecs[Is Real Estate Other Developed Markets],1):(INDEX(tblAssetMenuSpecs[Is Real Estate Other Developed Markets],NumberOfAssets))))</f>
        <v>0</v>
      </c>
      <c r="V101" s="280">
        <f>MMULT(INDEX(ReportAssetWeightsBaseline,ROW()-ROW(Q$95),1):INDEX(ReportAssetWeightsBaseline,ROW()-ROW(Q$95),NumberOfAssets),INT(INDEX(tblAssetMenuSpecs[Is Real Estate Commercial EU (non-leveraged)],1):(INDEX(tblAssetMenuSpecs[Is Real Estate Commercial EU (non-leveraged)],NumberOfAssets))))</f>
        <v>0</v>
      </c>
      <c r="W101" s="280">
        <f>MMULT(INDEX(ReportAssetWeightsBaseline,ROW()-ROW(R$95),1):INDEX(ReportAssetWeightsBaseline,ROW()-ROW(R$95),NumberOfAssets),INT(INDEX(tblAssetMenuSpecs[Is Real Estate Residential EU (non-leveraged)],1):(INDEX(tblAssetMenuSpecs[Is Real Estate Residential EU (non-leveraged)],NumberOfAssets))))</f>
        <v>0</v>
      </c>
      <c r="X101" s="280">
        <f>MMULT(INDEX(ReportAssetWeightsBaseline,ROW()-ROW(S$95),1):INDEX(ReportAssetWeightsBaseline,ROW()-ROW(S$95),NumberOfAssets),INT(INDEX(tblAssetMenuSpecs[Is Government Bond EU],1):(INDEX(tblAssetMenuSpecs[Is Government Bond EU],NumberOfAssets))))</f>
        <v>0</v>
      </c>
      <c r="Y101" s="280">
        <f>MMULT(INDEX(ReportAssetWeightsBaseline,ROW()-ROW(T$95),1):INDEX(ReportAssetWeightsBaseline,ROW()-ROW(T$95),NumberOfAssets),INT(INDEX(tblAssetMenuSpecs[Is Government Bond US],1):(INDEX(tblAssetMenuSpecs[Is Government Bond US],NumberOfAssets))))</f>
        <v>0</v>
      </c>
      <c r="Z101" s="280">
        <f>MMULT(INDEX(ReportAssetWeightsBaseline,ROW()-ROW(U$95),1):INDEX(ReportAssetWeightsBaseline,ROW()-ROW(U$95),NumberOfAssets),INT(INDEX(tblAssetMenuSpecs[Is Government Bond Other Developed Markets],1):(INDEX(tblAssetMenuSpecs[Is Government Bond Other Developed Markets],NumberOfAssets))))</f>
        <v>0</v>
      </c>
      <c r="AA101" s="280">
        <f>MMULT(INDEX(ReportAssetWeightsBaseline,ROW()-ROW(V$95),1):INDEX(ReportAssetWeightsBaseline,ROW()-ROW(V$95),NumberOfAssets),INT(INDEX(tblAssetMenuSpecs[Is Government Bond Emerging Markets],1):(INDEX(tblAssetMenuSpecs[Is Government Bond Emerging Markets],NumberOfAssets))))</f>
        <v>0</v>
      </c>
      <c r="AB101" s="280">
        <f>MMULT(INDEX(ReportAssetWeightsBaseline,ROW()-ROW(W$95),1):INDEX(ReportAssetWeightsBaseline,ROW()-ROW(W$95),NumberOfAssets),INT(INDEX(tblAssetMenuSpecs[Is Corporate Bond],1):(INDEX(tblAssetMenuSpecs[Is Corporate Bond],NumberOfAssets))))</f>
        <v>0</v>
      </c>
      <c r="AC101" s="280">
        <f>MMULT(INDEX(ReportAssetWeightsBaseline,ROW()-ROW(X$95),1):INDEX(ReportAssetWeightsBaseline,ROW()-ROW(X$95),NumberOfAssets),INT(INDEX(tblAssetMenuSpecs[Is Corporate Bond Non-Financial],1):(INDEX(tblAssetMenuSpecs[Is Corporate Bond Non-Financial],NumberOfAssets))))</f>
        <v>0</v>
      </c>
      <c r="AD101" s="280">
        <f>MMULT(INDEX(ReportAssetWeightsBaseline,ROW()-ROW(Y$95),1):INDEX(ReportAssetWeightsBaseline,ROW()-ROW(Y$95),NumberOfAssets),INT(INDEX(tblAssetMenuSpecs[Is Corporate Bond Financial],1):(INDEX(tblAssetMenuSpecs[Is Corporate Bond Financial],NumberOfAssets))))</f>
        <v>0</v>
      </c>
      <c r="AE101" s="280">
        <f>MMULT(INDEX(ReportAssetWeightsBaseline,ROW()-ROW(Z$95),1):INDEX(ReportAssetWeightsBaseline,ROW()-ROW(Z$95),NumberOfAssets),INT(INDEX(tblAssetMenuSpecs[Is Cash and Deposits],1):(INDEX(tblAssetMenuSpecs[Is Cash and Deposits],NumberOfAssets))))</f>
        <v>1</v>
      </c>
    </row>
    <row r="103" spans="6:31" ht="18.75" x14ac:dyDescent="0.3">
      <c r="F103" s="275" t="s">
        <v>544</v>
      </c>
      <c r="G103" s="275"/>
      <c r="H103" s="275"/>
      <c r="I103" s="275"/>
      <c r="J103" s="275"/>
      <c r="L103" s="276" t="s">
        <v>544</v>
      </c>
      <c r="M103" s="236"/>
      <c r="N103" s="236"/>
      <c r="O103" s="236"/>
      <c r="P103" s="236"/>
      <c r="Q103" s="236"/>
      <c r="R103" s="236"/>
      <c r="S103" s="236"/>
      <c r="T103" s="236"/>
      <c r="U103" s="236"/>
      <c r="V103" s="236"/>
      <c r="W103" s="236"/>
      <c r="X103" s="236"/>
      <c r="Y103" s="236"/>
      <c r="Z103" s="236"/>
      <c r="AA103" s="236"/>
      <c r="AB103" s="236"/>
      <c r="AC103" s="236"/>
      <c r="AD103" s="236"/>
      <c r="AE103" s="236"/>
    </row>
    <row r="104" spans="6:31" ht="18.75" x14ac:dyDescent="0.3">
      <c r="F104" s="275" t="s">
        <v>447</v>
      </c>
      <c r="G104" s="275"/>
      <c r="H104" s="275"/>
      <c r="I104" s="275"/>
      <c r="J104" s="275"/>
      <c r="L104" s="276" t="s">
        <v>448</v>
      </c>
      <c r="M104" s="236"/>
      <c r="N104" s="236"/>
      <c r="O104" s="236"/>
      <c r="P104" s="236"/>
      <c r="Q104" s="236"/>
      <c r="R104" s="236"/>
      <c r="S104" s="236"/>
      <c r="T104" s="236"/>
      <c r="U104" s="236"/>
      <c r="V104" s="236"/>
      <c r="W104" s="236"/>
      <c r="X104" s="236"/>
      <c r="Y104" s="236"/>
      <c r="Z104" s="236"/>
      <c r="AA104" s="236"/>
      <c r="AB104" s="236"/>
      <c r="AC104" s="236"/>
      <c r="AD104" s="236"/>
      <c r="AE104" s="236"/>
    </row>
    <row r="105" spans="6:31" ht="48.75" x14ac:dyDescent="0.25">
      <c r="F105" s="236" t="s">
        <v>346</v>
      </c>
      <c r="G105" s="252" t="s">
        <v>44</v>
      </c>
      <c r="H105" s="277" t="s">
        <v>265</v>
      </c>
      <c r="I105" s="277" t="s">
        <v>264</v>
      </c>
      <c r="J105" s="277" t="s">
        <v>45</v>
      </c>
      <c r="L105" s="334" t="s">
        <v>541</v>
      </c>
      <c r="M105" s="334" t="s">
        <v>257</v>
      </c>
      <c r="N105" s="334" t="s">
        <v>652</v>
      </c>
      <c r="O105" s="334" t="s">
        <v>262</v>
      </c>
      <c r="P105" s="334" t="s">
        <v>258</v>
      </c>
      <c r="Q105" s="334" t="s">
        <v>259</v>
      </c>
      <c r="R105" s="334" t="s">
        <v>260</v>
      </c>
      <c r="S105" s="334" t="s">
        <v>373</v>
      </c>
      <c r="T105" s="334" t="s">
        <v>650</v>
      </c>
      <c r="U105" s="334" t="s">
        <v>653</v>
      </c>
      <c r="V105" s="334" t="s">
        <v>533</v>
      </c>
      <c r="W105" s="334" t="s">
        <v>534</v>
      </c>
      <c r="X105" s="334" t="s">
        <v>691</v>
      </c>
      <c r="Y105" s="334" t="s">
        <v>692</v>
      </c>
      <c r="Z105" s="334" t="s">
        <v>693</v>
      </c>
      <c r="AA105" s="334" t="s">
        <v>694</v>
      </c>
      <c r="AB105" s="334" t="s">
        <v>695</v>
      </c>
      <c r="AC105" s="334" t="s">
        <v>696</v>
      </c>
      <c r="AD105" s="334" t="s">
        <v>697</v>
      </c>
      <c r="AE105" s="334" t="s">
        <v>266</v>
      </c>
    </row>
    <row r="106" spans="6:31" x14ac:dyDescent="0.25">
      <c r="F106" s="278">
        <f t="shared" ref="F106:F111" si="1">INDEX(ReportYTR,ROW()-ROW(F$105))</f>
        <v>5</v>
      </c>
      <c r="G106" s="279">
        <f>MMULT(INDEX(ReportAssetWeightsAdverse,ROW()-ROW(G$105),1):INDEX(ReportAssetWeightsAdverse,ROW()-ROW(G$105),NumberOfAssets),INT(INDEX(tblAssetMenuSpecs[IsEquities],1):(INDEX(tblAssetMenuSpecs[IsEquities],NumberOfAssets))))</f>
        <v>0</v>
      </c>
      <c r="H106" s="279">
        <f>MMULT(INDEX(ReportAssetWeightsAdverse,ROW()-ROW(H$105),1):INDEX(ReportAssetWeightsAdverse,ROW()-ROW(H$105),NumberOfAssets),INT(INDEX(tblAssetMenuSpecs[IsRealEstate],1):(INDEX(tblAssetMenuSpecs[IsRealEstate],NumberOfAssets))))</f>
        <v>0</v>
      </c>
      <c r="I106" s="279">
        <f>MMULT(INDEX(ReportAssetWeightsAdverse,ROW()-ROW(I$105),1):INDEX(ReportAssetWeightsAdverse,ROW()-ROW(I$105),NumberOfAssets),INT(INDEX(tblAssetMenuSpecs[IsAlternatives],1):(INDEX(tblAssetMenuSpecs[IsAlternatives],NumberOfAssets))))</f>
        <v>0</v>
      </c>
      <c r="J106" s="279">
        <f>MMULT(INDEX(ReportAssetWeightsAdverse,ROW()-ROW(J$105),1):INDEX(ReportAssetWeightsAdverse,ROW()-ROW(J$105),NumberOfAssets),INT(INDEX(tblAssetMenuSpecs[IsFixedIncome],1):(INDEX(tblAssetMenuSpecs[IsFixedIncome],NumberOfAssets))))</f>
        <v>1</v>
      </c>
      <c r="L106" s="280">
        <f>MMULT(INDEX(ReportAssetWeightsAdverse,ROW()-ROW(L$105),1):INDEX(ReportAssetWeightsAdverse,ROW()-ROW(L$105),NumberOfAssets),INT(INDEX(tblAssetMenuSpecs[Is Equities EU],1):(INDEX(tblAssetMenuSpecs[Is Equities EU],NumberOfAssets))))</f>
        <v>0</v>
      </c>
      <c r="M106" s="280">
        <f>MMULT(INDEX(ReportAssetWeightsAdverse,ROW()-ROW(M$105),1):INDEX(ReportAssetWeightsAdverse,ROW()-ROW(M$105),NumberOfAssets),INT(INDEX(tblAssetMenuSpecs[Is Equities US],1):(INDEX(tblAssetMenuSpecs[Is Equities US],NumberOfAssets))))</f>
        <v>0</v>
      </c>
      <c r="N106" s="280">
        <f>MMULT(INDEX(ReportAssetWeightsAdverse,ROW()-ROW(N$105),1):INDEX(ReportAssetWeightsAdverse,ROW()-ROW(N$105),NumberOfAssets),INT(INDEX(tblAssetMenuSpecs[Is Equities Other Developed Markets],1):(INDEX(tblAssetMenuSpecs[Is Equities Other Developed Markets],NumberOfAssets))))</f>
        <v>0</v>
      </c>
      <c r="O106" s="280">
        <f>MMULT(INDEX(ReportAssetWeightsAdverse,ROW()-ROW(O$105),1):INDEX(ReportAssetWeightsAdverse,ROW()-ROW(O$105),NumberOfAssets),INT(INDEX(tblAssetMenuSpecs[Is Equities Emerging Markets],1):(INDEX(tblAssetMenuSpecs[Is Equities Emerging Markets],NumberOfAssets))))</f>
        <v>0</v>
      </c>
      <c r="P106" s="280">
        <f>MMULT(INDEX(ReportAssetWeightsAdverse,ROW()-ROW(P$105),1):INDEX(ReportAssetWeightsAdverse,ROW()-ROW(P$105),NumberOfAssets),INT(INDEX(tblAssetMenuSpecs[Is Commodities],1):(INDEX(tblAssetMenuSpecs[Is Commodities],NumberOfAssets))))</f>
        <v>0</v>
      </c>
      <c r="Q106" s="280">
        <f>MMULT(INDEX(ReportAssetWeightsAdverse,ROW()-ROW(Q$105),1):INDEX(ReportAssetWeightsAdverse,ROW()-ROW(Q$105),NumberOfAssets),INT(INDEX(tblAssetMenuSpecs[Is Private Equity],1):(INDEX(tblAssetMenuSpecs[Is Private Equity],NumberOfAssets))))</f>
        <v>0</v>
      </c>
      <c r="R106" s="280">
        <f>MMULT(INDEX(ReportAssetWeightsAdverse,ROW()-ROW(R$105),1):INDEX(ReportAssetWeightsAdverse,ROW()-ROW(R$105),NumberOfAssets),INT(INDEX(tblAssetMenuSpecs[Is Hedge Funds],1):(INDEX(tblAssetMenuSpecs[Is Hedge Funds],NumberOfAssets))))</f>
        <v>0</v>
      </c>
      <c r="S106" s="280">
        <f>MMULT(INDEX(ReportAssetWeightsAdverse,ROW()-ROW(S$105),1):INDEX(ReportAssetWeightsAdverse,ROW()-ROW(S$105),NumberOfAssets),INT(INDEX(tblAssetMenuSpecs[Is Real Estate EU],1):(INDEX(tblAssetMenuSpecs[Is Real Estate EU],NumberOfAssets))))</f>
        <v>0</v>
      </c>
      <c r="T106" s="280">
        <f>MMULT(INDEX(ReportAssetWeightsAdverse,ROW()-ROW(T$105),1):INDEX(ReportAssetWeightsAdverse,ROW()-ROW(T$105),NumberOfAssets),INT(INDEX(tblAssetMenuSpecs[Is Real Estate US],1):(INDEX(tblAssetMenuSpecs[Is Real Estate US],NumberOfAssets))))</f>
        <v>0</v>
      </c>
      <c r="U106" s="280">
        <f>MMULT(INDEX(ReportAssetWeightsAdverse,ROW()-ROW(U$105),1):INDEX(ReportAssetWeightsAdverse,ROW()-ROW(U$105),NumberOfAssets),INT(INDEX(tblAssetMenuSpecs[Is Real Estate Other Developed Markets],1):(INDEX(tblAssetMenuSpecs[Is Real Estate Other Developed Markets],NumberOfAssets))))</f>
        <v>0</v>
      </c>
      <c r="V106" s="280">
        <f>MMULT(INDEX(ReportAssetWeightsAdverse,ROW()-ROW(V$105),1):INDEX(ReportAssetWeightsAdverse,ROW()-ROW(V$105),NumberOfAssets),INT(INDEX(tblAssetMenuSpecs[Is Real Estate Commercial EU (non-leveraged)],1):(INDEX(tblAssetMenuSpecs[Is Real Estate Commercial EU (non-leveraged)],NumberOfAssets))))</f>
        <v>0</v>
      </c>
      <c r="W106" s="280">
        <f>MMULT(INDEX(ReportAssetWeightsAdverse,ROW()-ROW(W$105),1):INDEX(ReportAssetWeightsAdverse,ROW()-ROW(W$105),NumberOfAssets),INT(INDEX(tblAssetMenuSpecs[Is Real Estate Residential EU (non-leveraged)],1):(INDEX(tblAssetMenuSpecs[Is Real Estate Residential EU (non-leveraged)],NumberOfAssets))))</f>
        <v>0</v>
      </c>
      <c r="X106" s="280">
        <f>MMULT(INDEX(ReportAssetWeightsAdverse,ROW()-ROW(X$105),1):INDEX(ReportAssetWeightsAdverse,ROW()-ROW(X$105),NumberOfAssets),INT(INDEX(tblAssetMenuSpecs[Is Government Bond EU],1):(INDEX(tblAssetMenuSpecs[Is Government Bond EU],NumberOfAssets))))</f>
        <v>0</v>
      </c>
      <c r="Y106" s="280">
        <f>MMULT(INDEX(ReportAssetWeightsAdverse,ROW()-ROW(Y$105),1):INDEX(ReportAssetWeightsAdverse,ROW()-ROW(Y$105),NumberOfAssets),INT(INDEX(tblAssetMenuSpecs[Is Government Bond US],1):(INDEX(tblAssetMenuSpecs[Is Government Bond US],NumberOfAssets))))</f>
        <v>0</v>
      </c>
      <c r="Z106" s="280">
        <f>MMULT(INDEX(ReportAssetWeightsAdverse,ROW()-ROW(Z$105),1):INDEX(ReportAssetWeightsAdverse,ROW()-ROW(Z$105),NumberOfAssets),INT(INDEX(tblAssetMenuSpecs[Is Government Bond Other Developed Markets],1):(INDEX(tblAssetMenuSpecs[Is Government Bond Other Developed Markets],NumberOfAssets))))</f>
        <v>0</v>
      </c>
      <c r="AA106" s="280">
        <f>MMULT(INDEX(ReportAssetWeightsAdverse,ROW()-ROW(AA$105),1):INDEX(ReportAssetWeightsAdverse,ROW()-ROW(AA$105),NumberOfAssets),INT(INDEX(tblAssetMenuSpecs[Is Government Bond Emerging Markets],1):(INDEX(tblAssetMenuSpecs[Is Government Bond Emerging Markets],NumberOfAssets))))</f>
        <v>0</v>
      </c>
      <c r="AB106" s="280">
        <f>MMULT(INDEX(ReportAssetWeightsAdverse,ROW()-ROW(AB$105),1):INDEX(ReportAssetWeightsAdverse,ROW()-ROW(AB$105),NumberOfAssets),INT(INDEX(tblAssetMenuSpecs[Is Corporate Bond],1):(INDEX(tblAssetMenuSpecs[Is Corporate Bond],NumberOfAssets))))</f>
        <v>0</v>
      </c>
      <c r="AC106" s="280">
        <f>MMULT(INDEX(ReportAssetWeightsAdverse,ROW()-ROW(AC$105),1):INDEX(ReportAssetWeightsAdverse,ROW()-ROW(AC$105),NumberOfAssets),INT(INDEX(tblAssetMenuSpecs[Is Corporate Bond Non-Financial],1):(INDEX(tblAssetMenuSpecs[Is Corporate Bond Non-Financial],NumberOfAssets))))</f>
        <v>0</v>
      </c>
      <c r="AD106" s="280">
        <f>MMULT(INDEX(ReportAssetWeightsAdverse,ROW()-ROW(AD$105),1):INDEX(ReportAssetWeightsAdverse,ROW()-ROW(AD$105),NumberOfAssets),INT(INDEX(tblAssetMenuSpecs[Is Corporate Bond Financial],1):(INDEX(tblAssetMenuSpecs[Is Corporate Bond Financial],NumberOfAssets))))</f>
        <v>0</v>
      </c>
      <c r="AE106" s="280">
        <f>MMULT(INDEX(ReportAssetWeightsAdverse,ROW()-ROW(AE$105),1):INDEX(ReportAssetWeightsAdverse,ROW()-ROW(AE$105),NumberOfAssets),INT(INDEX(tblAssetMenuSpecs[Is Cash and Deposits],1):(INDEX(tblAssetMenuSpecs[Is Cash and Deposits],NumberOfAssets))))</f>
        <v>1</v>
      </c>
    </row>
    <row r="107" spans="6:31" x14ac:dyDescent="0.25">
      <c r="F107" s="278">
        <f t="shared" si="1"/>
        <v>4</v>
      </c>
      <c r="G107" s="279">
        <f>MMULT(INDEX(ReportAssetWeightsAdverse,ROW()-ROW(G$105),1):INDEX(ReportAssetWeightsAdverse,ROW()-ROW(G$105),NumberOfAssets),INT(INDEX(tblAssetMenuSpecs[IsEquities],1):(INDEX(tblAssetMenuSpecs[IsEquities],NumberOfAssets))))</f>
        <v>0</v>
      </c>
      <c r="H107" s="279">
        <f>MMULT(INDEX(ReportAssetWeightsAdverse,ROW()-ROW(H$105),1):INDEX(ReportAssetWeightsAdverse,ROW()-ROW(H$105),NumberOfAssets),INT(INDEX(tblAssetMenuSpecs[IsRealEstate],1):(INDEX(tblAssetMenuSpecs[IsRealEstate],NumberOfAssets))))</f>
        <v>0</v>
      </c>
      <c r="I107" s="279">
        <f>MMULT(INDEX(ReportAssetWeightsAdverse,ROW()-ROW(I$105),1):INDEX(ReportAssetWeightsAdverse,ROW()-ROW(I$105),NumberOfAssets),INT(INDEX(tblAssetMenuSpecs[IsAlternatives],1):(INDEX(tblAssetMenuSpecs[IsAlternatives],NumberOfAssets))))</f>
        <v>0</v>
      </c>
      <c r="J107" s="279">
        <f>MMULT(INDEX(ReportAssetWeightsAdverse,ROW()-ROW(J$105),1):INDEX(ReportAssetWeightsAdverse,ROW()-ROW(J$105),NumberOfAssets),INT(INDEX(tblAssetMenuSpecs[IsFixedIncome],1):(INDEX(tblAssetMenuSpecs[IsFixedIncome],NumberOfAssets))))</f>
        <v>1</v>
      </c>
      <c r="L107" s="280">
        <f>MMULT(INDEX(ReportAssetWeightsAdverse,ROW()-ROW(L$105),1):INDEX(ReportAssetWeightsAdverse,ROW()-ROW(L$105),NumberOfAssets),INT(INDEX(tblAssetMenuSpecs[Is Equities EU],1):(INDEX(tblAssetMenuSpecs[Is Equities EU],NumberOfAssets))))</f>
        <v>0</v>
      </c>
      <c r="M107" s="280">
        <f>MMULT(INDEX(ReportAssetWeightsAdverse,ROW()-ROW(M$105),1):INDEX(ReportAssetWeightsAdverse,ROW()-ROW(M$105),NumberOfAssets),INT(INDEX(tblAssetMenuSpecs[Is Equities US],1):(INDEX(tblAssetMenuSpecs[Is Equities US],NumberOfAssets))))</f>
        <v>0</v>
      </c>
      <c r="N107" s="280">
        <f>MMULT(INDEX(ReportAssetWeightsAdverse,ROW()-ROW(N$105),1):INDEX(ReportAssetWeightsAdverse,ROW()-ROW(N$105),NumberOfAssets),INT(INDEX(tblAssetMenuSpecs[Is Equities Other Developed Markets],1):(INDEX(tblAssetMenuSpecs[Is Equities Other Developed Markets],NumberOfAssets))))</f>
        <v>0</v>
      </c>
      <c r="O107" s="280">
        <f>MMULT(INDEX(ReportAssetWeightsAdverse,ROW()-ROW(O$105),1):INDEX(ReportAssetWeightsAdverse,ROW()-ROW(O$105),NumberOfAssets),INT(INDEX(tblAssetMenuSpecs[Is Equities Emerging Markets],1):(INDEX(tblAssetMenuSpecs[Is Equities Emerging Markets],NumberOfAssets))))</f>
        <v>0</v>
      </c>
      <c r="P107" s="280">
        <f>MMULT(INDEX(ReportAssetWeightsAdverse,ROW()-ROW(P$105),1):INDEX(ReportAssetWeightsAdverse,ROW()-ROW(P$105),NumberOfAssets),INT(INDEX(tblAssetMenuSpecs[Is Commodities],1):(INDEX(tblAssetMenuSpecs[Is Commodities],NumberOfAssets))))</f>
        <v>0</v>
      </c>
      <c r="Q107" s="280">
        <f>MMULT(INDEX(ReportAssetWeightsAdverse,ROW()-ROW(Q$105),1):INDEX(ReportAssetWeightsAdverse,ROW()-ROW(Q$105),NumberOfAssets),INT(INDEX(tblAssetMenuSpecs[Is Private Equity],1):(INDEX(tblAssetMenuSpecs[Is Private Equity],NumberOfAssets))))</f>
        <v>0</v>
      </c>
      <c r="R107" s="280">
        <f>MMULT(INDEX(ReportAssetWeightsAdverse,ROW()-ROW(R$105),1):INDEX(ReportAssetWeightsAdverse,ROW()-ROW(R$105),NumberOfAssets),INT(INDEX(tblAssetMenuSpecs[Is Hedge Funds],1):(INDEX(tblAssetMenuSpecs[Is Hedge Funds],NumberOfAssets))))</f>
        <v>0</v>
      </c>
      <c r="S107" s="280">
        <f>MMULT(INDEX(ReportAssetWeightsAdverse,ROW()-ROW(S$105),1):INDEX(ReportAssetWeightsAdverse,ROW()-ROW(S$105),NumberOfAssets),INT(INDEX(tblAssetMenuSpecs[Is Real Estate EU],1):(INDEX(tblAssetMenuSpecs[Is Real Estate EU],NumberOfAssets))))</f>
        <v>0</v>
      </c>
      <c r="T107" s="280">
        <f>MMULT(INDEX(ReportAssetWeightsAdverse,ROW()-ROW(T$105),1):INDEX(ReportAssetWeightsAdverse,ROW()-ROW(T$105),NumberOfAssets),INT(INDEX(tblAssetMenuSpecs[Is Real Estate US],1):(INDEX(tblAssetMenuSpecs[Is Real Estate US],NumberOfAssets))))</f>
        <v>0</v>
      </c>
      <c r="U107" s="280">
        <f>MMULT(INDEX(ReportAssetWeightsAdverse,ROW()-ROW(U$105),1):INDEX(ReportAssetWeightsAdverse,ROW()-ROW(U$105),NumberOfAssets),INT(INDEX(tblAssetMenuSpecs[Is Real Estate Other Developed Markets],1):(INDEX(tblAssetMenuSpecs[Is Real Estate Other Developed Markets],NumberOfAssets))))</f>
        <v>0</v>
      </c>
      <c r="V107" s="280">
        <f>MMULT(INDEX(ReportAssetWeightsAdverse,ROW()-ROW(V$105),1):INDEX(ReportAssetWeightsAdverse,ROW()-ROW(V$105),NumberOfAssets),INT(INDEX(tblAssetMenuSpecs[Is Real Estate Commercial EU (non-leveraged)],1):(INDEX(tblAssetMenuSpecs[Is Real Estate Commercial EU (non-leveraged)],NumberOfAssets))))</f>
        <v>0</v>
      </c>
      <c r="W107" s="280">
        <f>MMULT(INDEX(ReportAssetWeightsAdverse,ROW()-ROW(W$105),1):INDEX(ReportAssetWeightsAdverse,ROW()-ROW(W$105),NumberOfAssets),INT(INDEX(tblAssetMenuSpecs[Is Real Estate Residential EU (non-leveraged)],1):(INDEX(tblAssetMenuSpecs[Is Real Estate Residential EU (non-leveraged)],NumberOfAssets))))</f>
        <v>0</v>
      </c>
      <c r="X107" s="280">
        <f>MMULT(INDEX(ReportAssetWeightsAdverse,ROW()-ROW(X$105),1):INDEX(ReportAssetWeightsAdverse,ROW()-ROW(X$105),NumberOfAssets),INT(INDEX(tblAssetMenuSpecs[Is Government Bond EU],1):(INDEX(tblAssetMenuSpecs[Is Government Bond EU],NumberOfAssets))))</f>
        <v>0</v>
      </c>
      <c r="Y107" s="280">
        <f>MMULT(INDEX(ReportAssetWeightsAdverse,ROW()-ROW(Y$105),1):INDEX(ReportAssetWeightsAdverse,ROW()-ROW(Y$105),NumberOfAssets),INT(INDEX(tblAssetMenuSpecs[Is Government Bond US],1):(INDEX(tblAssetMenuSpecs[Is Government Bond US],NumberOfAssets))))</f>
        <v>0</v>
      </c>
      <c r="Z107" s="280">
        <f>MMULT(INDEX(ReportAssetWeightsAdverse,ROW()-ROW(Z$105),1):INDEX(ReportAssetWeightsAdverse,ROW()-ROW(Z$105),NumberOfAssets),INT(INDEX(tblAssetMenuSpecs[Is Government Bond Other Developed Markets],1):(INDEX(tblAssetMenuSpecs[Is Government Bond Other Developed Markets],NumberOfAssets))))</f>
        <v>0</v>
      </c>
      <c r="AA107" s="280">
        <f>MMULT(INDEX(ReportAssetWeightsAdverse,ROW()-ROW(AA$105),1):INDEX(ReportAssetWeightsAdverse,ROW()-ROW(AA$105),NumberOfAssets),INT(INDEX(tblAssetMenuSpecs[Is Government Bond Emerging Markets],1):(INDEX(tblAssetMenuSpecs[Is Government Bond Emerging Markets],NumberOfAssets))))</f>
        <v>0</v>
      </c>
      <c r="AB107" s="280">
        <f>MMULT(INDEX(ReportAssetWeightsAdverse,ROW()-ROW(AB$105),1):INDEX(ReportAssetWeightsAdverse,ROW()-ROW(AB$105),NumberOfAssets),INT(INDEX(tblAssetMenuSpecs[Is Corporate Bond],1):(INDEX(tblAssetMenuSpecs[Is Corporate Bond],NumberOfAssets))))</f>
        <v>0</v>
      </c>
      <c r="AC107" s="280">
        <f>MMULT(INDEX(ReportAssetWeightsAdverse,ROW()-ROW(AC$105),1):INDEX(ReportAssetWeightsAdverse,ROW()-ROW(AC$105),NumberOfAssets),INT(INDEX(tblAssetMenuSpecs[Is Corporate Bond Non-Financial],1):(INDEX(tblAssetMenuSpecs[Is Corporate Bond Non-Financial],NumberOfAssets))))</f>
        <v>0</v>
      </c>
      <c r="AD107" s="280">
        <f>MMULT(INDEX(ReportAssetWeightsAdverse,ROW()-ROW(AD$105),1):INDEX(ReportAssetWeightsAdverse,ROW()-ROW(AD$105),NumberOfAssets),INT(INDEX(tblAssetMenuSpecs[Is Corporate Bond Financial],1):(INDEX(tblAssetMenuSpecs[Is Corporate Bond Financial],NumberOfAssets))))</f>
        <v>0</v>
      </c>
      <c r="AE107" s="280">
        <f>MMULT(INDEX(ReportAssetWeightsAdverse,ROW()-ROW(AE$105),1):INDEX(ReportAssetWeightsAdverse,ROW()-ROW(AE$105),NumberOfAssets),INT(INDEX(tblAssetMenuSpecs[Is Cash and Deposits],1):(INDEX(tblAssetMenuSpecs[Is Cash and Deposits],NumberOfAssets))))</f>
        <v>1</v>
      </c>
    </row>
    <row r="108" spans="6:31" x14ac:dyDescent="0.25">
      <c r="F108" s="278">
        <f t="shared" si="1"/>
        <v>3</v>
      </c>
      <c r="G108" s="279">
        <f>MMULT(INDEX(ReportAssetWeightsAdverse,ROW()-ROW(G$105),1):INDEX(ReportAssetWeightsAdverse,ROW()-ROW(G$105),NumberOfAssets),INT(INDEX(tblAssetMenuSpecs[IsEquities],1):(INDEX(tblAssetMenuSpecs[IsEquities],NumberOfAssets))))</f>
        <v>0</v>
      </c>
      <c r="H108" s="279">
        <f>MMULT(INDEX(ReportAssetWeightsAdverse,ROW()-ROW(H$105),1):INDEX(ReportAssetWeightsAdverse,ROW()-ROW(H$105),NumberOfAssets),INT(INDEX(tblAssetMenuSpecs[IsRealEstate],1):(INDEX(tblAssetMenuSpecs[IsRealEstate],NumberOfAssets))))</f>
        <v>0</v>
      </c>
      <c r="I108" s="279">
        <f>MMULT(INDEX(ReportAssetWeightsAdverse,ROW()-ROW(I$105),1):INDEX(ReportAssetWeightsAdverse,ROW()-ROW(I$105),NumberOfAssets),INT(INDEX(tblAssetMenuSpecs[IsAlternatives],1):(INDEX(tblAssetMenuSpecs[IsAlternatives],NumberOfAssets))))</f>
        <v>0</v>
      </c>
      <c r="J108" s="279">
        <f>MMULT(INDEX(ReportAssetWeightsAdverse,ROW()-ROW(J$105),1):INDEX(ReportAssetWeightsAdverse,ROW()-ROW(J$105),NumberOfAssets),INT(INDEX(tblAssetMenuSpecs[IsFixedIncome],1):(INDEX(tblAssetMenuSpecs[IsFixedIncome],NumberOfAssets))))</f>
        <v>1</v>
      </c>
      <c r="L108" s="280">
        <f>MMULT(INDEX(ReportAssetWeightsAdverse,ROW()-ROW(L$105),1):INDEX(ReportAssetWeightsAdverse,ROW()-ROW(L$105),NumberOfAssets),INT(INDEX(tblAssetMenuSpecs[Is Equities EU],1):(INDEX(tblAssetMenuSpecs[Is Equities EU],NumberOfAssets))))</f>
        <v>0</v>
      </c>
      <c r="M108" s="280">
        <f>MMULT(INDEX(ReportAssetWeightsAdverse,ROW()-ROW(M$105),1):INDEX(ReportAssetWeightsAdverse,ROW()-ROW(M$105),NumberOfAssets),INT(INDEX(tblAssetMenuSpecs[Is Equities US],1):(INDEX(tblAssetMenuSpecs[Is Equities US],NumberOfAssets))))</f>
        <v>0</v>
      </c>
      <c r="N108" s="280">
        <f>MMULT(INDEX(ReportAssetWeightsAdverse,ROW()-ROW(N$105),1):INDEX(ReportAssetWeightsAdverse,ROW()-ROW(N$105),NumberOfAssets),INT(INDEX(tblAssetMenuSpecs[Is Equities Other Developed Markets],1):(INDEX(tblAssetMenuSpecs[Is Equities Other Developed Markets],NumberOfAssets))))</f>
        <v>0</v>
      </c>
      <c r="O108" s="280">
        <f>MMULT(INDEX(ReportAssetWeightsAdverse,ROW()-ROW(O$105),1):INDEX(ReportAssetWeightsAdverse,ROW()-ROW(O$105),NumberOfAssets),INT(INDEX(tblAssetMenuSpecs[Is Equities Emerging Markets],1):(INDEX(tblAssetMenuSpecs[Is Equities Emerging Markets],NumberOfAssets))))</f>
        <v>0</v>
      </c>
      <c r="P108" s="280">
        <f>MMULT(INDEX(ReportAssetWeightsAdverse,ROW()-ROW(P$105),1):INDEX(ReportAssetWeightsAdverse,ROW()-ROW(P$105),NumberOfAssets),INT(INDEX(tblAssetMenuSpecs[Is Commodities],1):(INDEX(tblAssetMenuSpecs[Is Commodities],NumberOfAssets))))</f>
        <v>0</v>
      </c>
      <c r="Q108" s="280">
        <f>MMULT(INDEX(ReportAssetWeightsAdverse,ROW()-ROW(Q$105),1):INDEX(ReportAssetWeightsAdverse,ROW()-ROW(Q$105),NumberOfAssets),INT(INDEX(tblAssetMenuSpecs[Is Private Equity],1):(INDEX(tblAssetMenuSpecs[Is Private Equity],NumberOfAssets))))</f>
        <v>0</v>
      </c>
      <c r="R108" s="280">
        <f>MMULT(INDEX(ReportAssetWeightsAdverse,ROW()-ROW(R$105),1):INDEX(ReportAssetWeightsAdverse,ROW()-ROW(R$105),NumberOfAssets),INT(INDEX(tblAssetMenuSpecs[Is Hedge Funds],1):(INDEX(tblAssetMenuSpecs[Is Hedge Funds],NumberOfAssets))))</f>
        <v>0</v>
      </c>
      <c r="S108" s="280">
        <f>MMULT(INDEX(ReportAssetWeightsAdverse,ROW()-ROW(S$105),1):INDEX(ReportAssetWeightsAdverse,ROW()-ROW(S$105),NumberOfAssets),INT(INDEX(tblAssetMenuSpecs[Is Real Estate EU],1):(INDEX(tblAssetMenuSpecs[Is Real Estate EU],NumberOfAssets))))</f>
        <v>0</v>
      </c>
      <c r="T108" s="280">
        <f>MMULT(INDEX(ReportAssetWeightsAdverse,ROW()-ROW(T$105),1):INDEX(ReportAssetWeightsAdverse,ROW()-ROW(T$105),NumberOfAssets),INT(INDEX(tblAssetMenuSpecs[Is Real Estate US],1):(INDEX(tblAssetMenuSpecs[Is Real Estate US],NumberOfAssets))))</f>
        <v>0</v>
      </c>
      <c r="U108" s="280">
        <f>MMULT(INDEX(ReportAssetWeightsAdverse,ROW()-ROW(U$105),1):INDEX(ReportAssetWeightsAdverse,ROW()-ROW(U$105),NumberOfAssets),INT(INDEX(tblAssetMenuSpecs[Is Real Estate Other Developed Markets],1):(INDEX(tblAssetMenuSpecs[Is Real Estate Other Developed Markets],NumberOfAssets))))</f>
        <v>0</v>
      </c>
      <c r="V108" s="280">
        <f>MMULT(INDEX(ReportAssetWeightsAdverse,ROW()-ROW(V$105),1):INDEX(ReportAssetWeightsAdverse,ROW()-ROW(V$105),NumberOfAssets),INT(INDEX(tblAssetMenuSpecs[Is Real Estate Commercial EU (non-leveraged)],1):(INDEX(tblAssetMenuSpecs[Is Real Estate Commercial EU (non-leveraged)],NumberOfAssets))))</f>
        <v>0</v>
      </c>
      <c r="W108" s="280">
        <f>MMULT(INDEX(ReportAssetWeightsAdverse,ROW()-ROW(W$105),1):INDEX(ReportAssetWeightsAdverse,ROW()-ROW(W$105),NumberOfAssets),INT(INDEX(tblAssetMenuSpecs[Is Real Estate Residential EU (non-leveraged)],1):(INDEX(tblAssetMenuSpecs[Is Real Estate Residential EU (non-leveraged)],NumberOfAssets))))</f>
        <v>0</v>
      </c>
      <c r="X108" s="280">
        <f>MMULT(INDEX(ReportAssetWeightsAdverse,ROW()-ROW(X$105),1):INDEX(ReportAssetWeightsAdverse,ROW()-ROW(X$105),NumberOfAssets),INT(INDEX(tblAssetMenuSpecs[Is Government Bond EU],1):(INDEX(tblAssetMenuSpecs[Is Government Bond EU],NumberOfAssets))))</f>
        <v>0</v>
      </c>
      <c r="Y108" s="280">
        <f>MMULT(INDEX(ReportAssetWeightsAdverse,ROW()-ROW(Y$105),1):INDEX(ReportAssetWeightsAdverse,ROW()-ROW(Y$105),NumberOfAssets),INT(INDEX(tblAssetMenuSpecs[Is Government Bond US],1):(INDEX(tblAssetMenuSpecs[Is Government Bond US],NumberOfAssets))))</f>
        <v>0</v>
      </c>
      <c r="Z108" s="280">
        <f>MMULT(INDEX(ReportAssetWeightsAdverse,ROW()-ROW(Z$105),1):INDEX(ReportAssetWeightsAdverse,ROW()-ROW(Z$105),NumberOfAssets),INT(INDEX(tblAssetMenuSpecs[Is Government Bond Other Developed Markets],1):(INDEX(tblAssetMenuSpecs[Is Government Bond Other Developed Markets],NumberOfAssets))))</f>
        <v>0</v>
      </c>
      <c r="AA108" s="280">
        <f>MMULT(INDEX(ReportAssetWeightsAdverse,ROW()-ROW(AA$105),1):INDEX(ReportAssetWeightsAdverse,ROW()-ROW(AA$105),NumberOfAssets),INT(INDEX(tblAssetMenuSpecs[Is Government Bond Emerging Markets],1):(INDEX(tblAssetMenuSpecs[Is Government Bond Emerging Markets],NumberOfAssets))))</f>
        <v>0</v>
      </c>
      <c r="AB108" s="280">
        <f>MMULT(INDEX(ReportAssetWeightsAdverse,ROW()-ROW(AB$105),1):INDEX(ReportAssetWeightsAdverse,ROW()-ROW(AB$105),NumberOfAssets),INT(INDEX(tblAssetMenuSpecs[Is Corporate Bond],1):(INDEX(tblAssetMenuSpecs[Is Corporate Bond],NumberOfAssets))))</f>
        <v>0</v>
      </c>
      <c r="AC108" s="280">
        <f>MMULT(INDEX(ReportAssetWeightsAdverse,ROW()-ROW(AC$105),1):INDEX(ReportAssetWeightsAdverse,ROW()-ROW(AC$105),NumberOfAssets),INT(INDEX(tblAssetMenuSpecs[Is Corporate Bond Non-Financial],1):(INDEX(tblAssetMenuSpecs[Is Corporate Bond Non-Financial],NumberOfAssets))))</f>
        <v>0</v>
      </c>
      <c r="AD108" s="280">
        <f>MMULT(INDEX(ReportAssetWeightsAdverse,ROW()-ROW(AD$105),1):INDEX(ReportAssetWeightsAdverse,ROW()-ROW(AD$105),NumberOfAssets),INT(INDEX(tblAssetMenuSpecs[Is Corporate Bond Financial],1):(INDEX(tblAssetMenuSpecs[Is Corporate Bond Financial],NumberOfAssets))))</f>
        <v>0</v>
      </c>
      <c r="AE108" s="280">
        <f>MMULT(INDEX(ReportAssetWeightsAdverse,ROW()-ROW(AE$105),1):INDEX(ReportAssetWeightsAdverse,ROW()-ROW(AE$105),NumberOfAssets),INT(INDEX(tblAssetMenuSpecs[Is Cash and Deposits],1):(INDEX(tblAssetMenuSpecs[Is Cash and Deposits],NumberOfAssets))))</f>
        <v>1</v>
      </c>
    </row>
    <row r="109" spans="6:31" x14ac:dyDescent="0.25">
      <c r="F109" s="278">
        <f t="shared" si="1"/>
        <v>2</v>
      </c>
      <c r="G109" s="279">
        <f>MMULT(INDEX(ReportAssetWeightsAdverse,ROW()-ROW(G$105),1):INDEX(ReportAssetWeightsAdverse,ROW()-ROW(G$105),NumberOfAssets),INT(INDEX(tblAssetMenuSpecs[IsEquities],1):(INDEX(tblAssetMenuSpecs[IsEquities],NumberOfAssets))))</f>
        <v>0</v>
      </c>
      <c r="H109" s="279">
        <f>MMULT(INDEX(ReportAssetWeightsAdverse,ROW()-ROW(H$105),1):INDEX(ReportAssetWeightsAdverse,ROW()-ROW(H$105),NumberOfAssets),INT(INDEX(tblAssetMenuSpecs[IsRealEstate],1):(INDEX(tblAssetMenuSpecs[IsRealEstate],NumberOfAssets))))</f>
        <v>0</v>
      </c>
      <c r="I109" s="279">
        <f>MMULT(INDEX(ReportAssetWeightsAdverse,ROW()-ROW(I$105),1):INDEX(ReportAssetWeightsAdverse,ROW()-ROW(I$105),NumberOfAssets),INT(INDEX(tblAssetMenuSpecs[IsAlternatives],1):(INDEX(tblAssetMenuSpecs[IsAlternatives],NumberOfAssets))))</f>
        <v>0</v>
      </c>
      <c r="J109" s="279">
        <f>MMULT(INDEX(ReportAssetWeightsAdverse,ROW()-ROW(J$105),1):INDEX(ReportAssetWeightsAdverse,ROW()-ROW(J$105),NumberOfAssets),INT(INDEX(tblAssetMenuSpecs[IsFixedIncome],1):(INDEX(tblAssetMenuSpecs[IsFixedIncome],NumberOfAssets))))</f>
        <v>1</v>
      </c>
      <c r="L109" s="280">
        <f>MMULT(INDEX(ReportAssetWeightsAdverse,ROW()-ROW(L$105),1):INDEX(ReportAssetWeightsAdverse,ROW()-ROW(L$105),NumberOfAssets),INT(INDEX(tblAssetMenuSpecs[Is Equities EU],1):(INDEX(tblAssetMenuSpecs[Is Equities EU],NumberOfAssets))))</f>
        <v>0</v>
      </c>
      <c r="M109" s="280">
        <f>MMULT(INDEX(ReportAssetWeightsAdverse,ROW()-ROW(M$105),1):INDEX(ReportAssetWeightsAdverse,ROW()-ROW(M$105),NumberOfAssets),INT(INDEX(tblAssetMenuSpecs[Is Equities US],1):(INDEX(tblAssetMenuSpecs[Is Equities US],NumberOfAssets))))</f>
        <v>0</v>
      </c>
      <c r="N109" s="280">
        <f>MMULT(INDEX(ReportAssetWeightsAdverse,ROW()-ROW(N$105),1):INDEX(ReportAssetWeightsAdverse,ROW()-ROW(N$105),NumberOfAssets),INT(INDEX(tblAssetMenuSpecs[Is Equities Other Developed Markets],1):(INDEX(tblAssetMenuSpecs[Is Equities Other Developed Markets],NumberOfAssets))))</f>
        <v>0</v>
      </c>
      <c r="O109" s="280">
        <f>MMULT(INDEX(ReportAssetWeightsAdverse,ROW()-ROW(O$105),1):INDEX(ReportAssetWeightsAdverse,ROW()-ROW(O$105),NumberOfAssets),INT(INDEX(tblAssetMenuSpecs[Is Equities Emerging Markets],1):(INDEX(tblAssetMenuSpecs[Is Equities Emerging Markets],NumberOfAssets))))</f>
        <v>0</v>
      </c>
      <c r="P109" s="280">
        <f>MMULT(INDEX(ReportAssetWeightsAdverse,ROW()-ROW(P$105),1):INDEX(ReportAssetWeightsAdverse,ROW()-ROW(P$105),NumberOfAssets),INT(INDEX(tblAssetMenuSpecs[Is Commodities],1):(INDEX(tblAssetMenuSpecs[Is Commodities],NumberOfAssets))))</f>
        <v>0</v>
      </c>
      <c r="Q109" s="280">
        <f>MMULT(INDEX(ReportAssetWeightsAdverse,ROW()-ROW(Q$105),1):INDEX(ReportAssetWeightsAdverse,ROW()-ROW(Q$105),NumberOfAssets),INT(INDEX(tblAssetMenuSpecs[Is Private Equity],1):(INDEX(tblAssetMenuSpecs[Is Private Equity],NumberOfAssets))))</f>
        <v>0</v>
      </c>
      <c r="R109" s="280">
        <f>MMULT(INDEX(ReportAssetWeightsAdverse,ROW()-ROW(R$105),1):INDEX(ReportAssetWeightsAdverse,ROW()-ROW(R$105),NumberOfAssets),INT(INDEX(tblAssetMenuSpecs[Is Hedge Funds],1):(INDEX(tblAssetMenuSpecs[Is Hedge Funds],NumberOfAssets))))</f>
        <v>0</v>
      </c>
      <c r="S109" s="280">
        <f>MMULT(INDEX(ReportAssetWeightsAdverse,ROW()-ROW(S$105),1):INDEX(ReportAssetWeightsAdverse,ROW()-ROW(S$105),NumberOfAssets),INT(INDEX(tblAssetMenuSpecs[Is Real Estate EU],1):(INDEX(tblAssetMenuSpecs[Is Real Estate EU],NumberOfAssets))))</f>
        <v>0</v>
      </c>
      <c r="T109" s="280">
        <f>MMULT(INDEX(ReportAssetWeightsAdverse,ROW()-ROW(T$105),1):INDEX(ReportAssetWeightsAdverse,ROW()-ROW(T$105),NumberOfAssets),INT(INDEX(tblAssetMenuSpecs[Is Real Estate US],1):(INDEX(tblAssetMenuSpecs[Is Real Estate US],NumberOfAssets))))</f>
        <v>0</v>
      </c>
      <c r="U109" s="280">
        <f>MMULT(INDEX(ReportAssetWeightsAdverse,ROW()-ROW(U$105),1):INDEX(ReportAssetWeightsAdverse,ROW()-ROW(U$105),NumberOfAssets),INT(INDEX(tblAssetMenuSpecs[Is Real Estate Other Developed Markets],1):(INDEX(tblAssetMenuSpecs[Is Real Estate Other Developed Markets],NumberOfAssets))))</f>
        <v>0</v>
      </c>
      <c r="V109" s="280">
        <f>MMULT(INDEX(ReportAssetWeightsAdverse,ROW()-ROW(V$105),1):INDEX(ReportAssetWeightsAdverse,ROW()-ROW(V$105),NumberOfAssets),INT(INDEX(tblAssetMenuSpecs[Is Real Estate Commercial EU (non-leveraged)],1):(INDEX(tblAssetMenuSpecs[Is Real Estate Commercial EU (non-leveraged)],NumberOfAssets))))</f>
        <v>0</v>
      </c>
      <c r="W109" s="280">
        <f>MMULT(INDEX(ReportAssetWeightsAdverse,ROW()-ROW(W$105),1):INDEX(ReportAssetWeightsAdverse,ROW()-ROW(W$105),NumberOfAssets),INT(INDEX(tblAssetMenuSpecs[Is Real Estate Residential EU (non-leveraged)],1):(INDEX(tblAssetMenuSpecs[Is Real Estate Residential EU (non-leveraged)],NumberOfAssets))))</f>
        <v>0</v>
      </c>
      <c r="X109" s="280">
        <f>MMULT(INDEX(ReportAssetWeightsAdverse,ROW()-ROW(X$105),1):INDEX(ReportAssetWeightsAdverse,ROW()-ROW(X$105),NumberOfAssets),INT(INDEX(tblAssetMenuSpecs[Is Government Bond EU],1):(INDEX(tblAssetMenuSpecs[Is Government Bond EU],NumberOfAssets))))</f>
        <v>0</v>
      </c>
      <c r="Y109" s="280">
        <f>MMULT(INDEX(ReportAssetWeightsAdverse,ROW()-ROW(Y$105),1):INDEX(ReportAssetWeightsAdverse,ROW()-ROW(Y$105),NumberOfAssets),INT(INDEX(tblAssetMenuSpecs[Is Government Bond US],1):(INDEX(tblAssetMenuSpecs[Is Government Bond US],NumberOfAssets))))</f>
        <v>0</v>
      </c>
      <c r="Z109" s="280">
        <f>MMULT(INDEX(ReportAssetWeightsAdverse,ROW()-ROW(Z$105),1):INDEX(ReportAssetWeightsAdverse,ROW()-ROW(Z$105),NumberOfAssets),INT(INDEX(tblAssetMenuSpecs[Is Government Bond Other Developed Markets],1):(INDEX(tblAssetMenuSpecs[Is Government Bond Other Developed Markets],NumberOfAssets))))</f>
        <v>0</v>
      </c>
      <c r="AA109" s="280">
        <f>MMULT(INDEX(ReportAssetWeightsAdverse,ROW()-ROW(AA$105),1):INDEX(ReportAssetWeightsAdverse,ROW()-ROW(AA$105),NumberOfAssets),INT(INDEX(tblAssetMenuSpecs[Is Government Bond Emerging Markets],1):(INDEX(tblAssetMenuSpecs[Is Government Bond Emerging Markets],NumberOfAssets))))</f>
        <v>0</v>
      </c>
      <c r="AB109" s="280">
        <f>MMULT(INDEX(ReportAssetWeightsAdverse,ROW()-ROW(AB$105),1):INDEX(ReportAssetWeightsAdverse,ROW()-ROW(AB$105),NumberOfAssets),INT(INDEX(tblAssetMenuSpecs[Is Corporate Bond],1):(INDEX(tblAssetMenuSpecs[Is Corporate Bond],NumberOfAssets))))</f>
        <v>0</v>
      </c>
      <c r="AC109" s="280">
        <f>MMULT(INDEX(ReportAssetWeightsAdverse,ROW()-ROW(AC$105),1):INDEX(ReportAssetWeightsAdverse,ROW()-ROW(AC$105),NumberOfAssets),INT(INDEX(tblAssetMenuSpecs[Is Corporate Bond Non-Financial],1):(INDEX(tblAssetMenuSpecs[Is Corporate Bond Non-Financial],NumberOfAssets))))</f>
        <v>0</v>
      </c>
      <c r="AD109" s="280">
        <f>MMULT(INDEX(ReportAssetWeightsAdverse,ROW()-ROW(AD$105),1):INDEX(ReportAssetWeightsAdverse,ROW()-ROW(AD$105),NumberOfAssets),INT(INDEX(tblAssetMenuSpecs[Is Corporate Bond Financial],1):(INDEX(tblAssetMenuSpecs[Is Corporate Bond Financial],NumberOfAssets))))</f>
        <v>0</v>
      </c>
      <c r="AE109" s="280">
        <f>MMULT(INDEX(ReportAssetWeightsAdverse,ROW()-ROW(AE$105),1):INDEX(ReportAssetWeightsAdverse,ROW()-ROW(AE$105),NumberOfAssets),INT(INDEX(tblAssetMenuSpecs[Is Cash and Deposits],1):(INDEX(tblAssetMenuSpecs[Is Cash and Deposits],NumberOfAssets))))</f>
        <v>1</v>
      </c>
    </row>
    <row r="110" spans="6:31" x14ac:dyDescent="0.25">
      <c r="F110" s="278">
        <f t="shared" si="1"/>
        <v>1</v>
      </c>
      <c r="G110" s="279">
        <f>MMULT(INDEX(ReportAssetWeightsAdverse,ROW()-ROW(G$105),1):INDEX(ReportAssetWeightsAdverse,ROW()-ROW(G$105),NumberOfAssets),INT(INDEX(tblAssetMenuSpecs[IsEquities],1):(INDEX(tblAssetMenuSpecs[IsEquities],NumberOfAssets))))</f>
        <v>0</v>
      </c>
      <c r="H110" s="279">
        <f>MMULT(INDEX(ReportAssetWeightsAdverse,ROW()-ROW(H$105),1):INDEX(ReportAssetWeightsAdverse,ROW()-ROW(H$105),NumberOfAssets),INT(INDEX(tblAssetMenuSpecs[IsRealEstate],1):(INDEX(tblAssetMenuSpecs[IsRealEstate],NumberOfAssets))))</f>
        <v>0</v>
      </c>
      <c r="I110" s="279">
        <f>MMULT(INDEX(ReportAssetWeightsAdverse,ROW()-ROW(I$105),1):INDEX(ReportAssetWeightsAdverse,ROW()-ROW(I$105),NumberOfAssets),INT(INDEX(tblAssetMenuSpecs[IsAlternatives],1):(INDEX(tblAssetMenuSpecs[IsAlternatives],NumberOfAssets))))</f>
        <v>0</v>
      </c>
      <c r="J110" s="279">
        <f>MMULT(INDEX(ReportAssetWeightsAdverse,ROW()-ROW(J$105),1):INDEX(ReportAssetWeightsAdverse,ROW()-ROW(J$105),NumberOfAssets),INT(INDEX(tblAssetMenuSpecs[IsFixedIncome],1):(INDEX(tblAssetMenuSpecs[IsFixedIncome],NumberOfAssets))))</f>
        <v>1</v>
      </c>
      <c r="L110" s="280">
        <f>MMULT(INDEX(ReportAssetWeightsAdverse,ROW()-ROW(L$105),1):INDEX(ReportAssetWeightsAdverse,ROW()-ROW(L$105),NumberOfAssets),INT(INDEX(tblAssetMenuSpecs[Is Equities EU],1):(INDEX(tblAssetMenuSpecs[Is Equities EU],NumberOfAssets))))</f>
        <v>0</v>
      </c>
      <c r="M110" s="280">
        <f>MMULT(INDEX(ReportAssetWeightsAdverse,ROW()-ROW(M$105),1):INDEX(ReportAssetWeightsAdverse,ROW()-ROW(M$105),NumberOfAssets),INT(INDEX(tblAssetMenuSpecs[Is Equities US],1):(INDEX(tblAssetMenuSpecs[Is Equities US],NumberOfAssets))))</f>
        <v>0</v>
      </c>
      <c r="N110" s="280">
        <f>MMULT(INDEX(ReportAssetWeightsAdverse,ROW()-ROW(N$105),1):INDEX(ReportAssetWeightsAdverse,ROW()-ROW(N$105),NumberOfAssets),INT(INDEX(tblAssetMenuSpecs[Is Equities Other Developed Markets],1):(INDEX(tblAssetMenuSpecs[Is Equities Other Developed Markets],NumberOfAssets))))</f>
        <v>0</v>
      </c>
      <c r="O110" s="280">
        <f>MMULT(INDEX(ReportAssetWeightsAdverse,ROW()-ROW(O$105),1):INDEX(ReportAssetWeightsAdverse,ROW()-ROW(O$105),NumberOfAssets),INT(INDEX(tblAssetMenuSpecs[Is Equities Emerging Markets],1):(INDEX(tblAssetMenuSpecs[Is Equities Emerging Markets],NumberOfAssets))))</f>
        <v>0</v>
      </c>
      <c r="P110" s="280">
        <f>MMULT(INDEX(ReportAssetWeightsAdverse,ROW()-ROW(P$105),1):INDEX(ReportAssetWeightsAdverse,ROW()-ROW(P$105),NumberOfAssets),INT(INDEX(tblAssetMenuSpecs[Is Commodities],1):(INDEX(tblAssetMenuSpecs[Is Commodities],NumberOfAssets))))</f>
        <v>0</v>
      </c>
      <c r="Q110" s="280">
        <f>MMULT(INDEX(ReportAssetWeightsAdverse,ROW()-ROW(Q$105),1):INDEX(ReportAssetWeightsAdverse,ROW()-ROW(Q$105),NumberOfAssets),INT(INDEX(tblAssetMenuSpecs[Is Private Equity],1):(INDEX(tblAssetMenuSpecs[Is Private Equity],NumberOfAssets))))</f>
        <v>0</v>
      </c>
      <c r="R110" s="280">
        <f>MMULT(INDEX(ReportAssetWeightsAdverse,ROW()-ROW(R$105),1):INDEX(ReportAssetWeightsAdverse,ROW()-ROW(R$105),NumberOfAssets),INT(INDEX(tblAssetMenuSpecs[Is Hedge Funds],1):(INDEX(tblAssetMenuSpecs[Is Hedge Funds],NumberOfAssets))))</f>
        <v>0</v>
      </c>
      <c r="S110" s="280">
        <f>MMULT(INDEX(ReportAssetWeightsAdverse,ROW()-ROW(S$105),1):INDEX(ReportAssetWeightsAdverse,ROW()-ROW(S$105),NumberOfAssets),INT(INDEX(tblAssetMenuSpecs[Is Real Estate EU],1):(INDEX(tblAssetMenuSpecs[Is Real Estate EU],NumberOfAssets))))</f>
        <v>0</v>
      </c>
      <c r="T110" s="280">
        <f>MMULT(INDEX(ReportAssetWeightsAdverse,ROW()-ROW(T$105),1):INDEX(ReportAssetWeightsAdverse,ROW()-ROW(T$105),NumberOfAssets),INT(INDEX(tblAssetMenuSpecs[Is Real Estate US],1):(INDEX(tblAssetMenuSpecs[Is Real Estate US],NumberOfAssets))))</f>
        <v>0</v>
      </c>
      <c r="U110" s="280">
        <f>MMULT(INDEX(ReportAssetWeightsAdverse,ROW()-ROW(U$105),1):INDEX(ReportAssetWeightsAdverse,ROW()-ROW(U$105),NumberOfAssets),INT(INDEX(tblAssetMenuSpecs[Is Real Estate Other Developed Markets],1):(INDEX(tblAssetMenuSpecs[Is Real Estate Other Developed Markets],NumberOfAssets))))</f>
        <v>0</v>
      </c>
      <c r="V110" s="280">
        <f>MMULT(INDEX(ReportAssetWeightsAdverse,ROW()-ROW(V$105),1):INDEX(ReportAssetWeightsAdverse,ROW()-ROW(V$105),NumberOfAssets),INT(INDEX(tblAssetMenuSpecs[Is Real Estate Commercial EU (non-leveraged)],1):(INDEX(tblAssetMenuSpecs[Is Real Estate Commercial EU (non-leveraged)],NumberOfAssets))))</f>
        <v>0</v>
      </c>
      <c r="W110" s="280">
        <f>MMULT(INDEX(ReportAssetWeightsAdverse,ROW()-ROW(W$105),1):INDEX(ReportAssetWeightsAdverse,ROW()-ROW(W$105),NumberOfAssets),INT(INDEX(tblAssetMenuSpecs[Is Real Estate Residential EU (non-leveraged)],1):(INDEX(tblAssetMenuSpecs[Is Real Estate Residential EU (non-leveraged)],NumberOfAssets))))</f>
        <v>0</v>
      </c>
      <c r="X110" s="280">
        <f>MMULT(INDEX(ReportAssetWeightsAdverse,ROW()-ROW(X$105),1):INDEX(ReportAssetWeightsAdverse,ROW()-ROW(X$105),NumberOfAssets),INT(INDEX(tblAssetMenuSpecs[Is Government Bond EU],1):(INDEX(tblAssetMenuSpecs[Is Government Bond EU],NumberOfAssets))))</f>
        <v>0</v>
      </c>
      <c r="Y110" s="280">
        <f>MMULT(INDEX(ReportAssetWeightsAdverse,ROW()-ROW(Y$105),1):INDEX(ReportAssetWeightsAdverse,ROW()-ROW(Y$105),NumberOfAssets),INT(INDEX(tblAssetMenuSpecs[Is Government Bond US],1):(INDEX(tblAssetMenuSpecs[Is Government Bond US],NumberOfAssets))))</f>
        <v>0</v>
      </c>
      <c r="Z110" s="280">
        <f>MMULT(INDEX(ReportAssetWeightsAdverse,ROW()-ROW(Z$105),1):INDEX(ReportAssetWeightsAdverse,ROW()-ROW(Z$105),NumberOfAssets),INT(INDEX(tblAssetMenuSpecs[Is Government Bond Other Developed Markets],1):(INDEX(tblAssetMenuSpecs[Is Government Bond Other Developed Markets],NumberOfAssets))))</f>
        <v>0</v>
      </c>
      <c r="AA110" s="280">
        <f>MMULT(INDEX(ReportAssetWeightsAdverse,ROW()-ROW(AA$105),1):INDEX(ReportAssetWeightsAdverse,ROW()-ROW(AA$105),NumberOfAssets),INT(INDEX(tblAssetMenuSpecs[Is Government Bond Emerging Markets],1):(INDEX(tblAssetMenuSpecs[Is Government Bond Emerging Markets],NumberOfAssets))))</f>
        <v>0</v>
      </c>
      <c r="AB110" s="280">
        <f>MMULT(INDEX(ReportAssetWeightsAdverse,ROW()-ROW(AB$105),1):INDEX(ReportAssetWeightsAdverse,ROW()-ROW(AB$105),NumberOfAssets),INT(INDEX(tblAssetMenuSpecs[Is Corporate Bond],1):(INDEX(tblAssetMenuSpecs[Is Corporate Bond],NumberOfAssets))))</f>
        <v>0</v>
      </c>
      <c r="AC110" s="280">
        <f>MMULT(INDEX(ReportAssetWeightsAdverse,ROW()-ROW(AC$105),1):INDEX(ReportAssetWeightsAdverse,ROW()-ROW(AC$105),NumberOfAssets),INT(INDEX(tblAssetMenuSpecs[Is Corporate Bond Non-Financial],1):(INDEX(tblAssetMenuSpecs[Is Corporate Bond Non-Financial],NumberOfAssets))))</f>
        <v>0</v>
      </c>
      <c r="AD110" s="280">
        <f>MMULT(INDEX(ReportAssetWeightsAdverse,ROW()-ROW(AD$105),1):INDEX(ReportAssetWeightsAdverse,ROW()-ROW(AD$105),NumberOfAssets),INT(INDEX(tblAssetMenuSpecs[Is Corporate Bond Financial],1):(INDEX(tblAssetMenuSpecs[Is Corporate Bond Financial],NumberOfAssets))))</f>
        <v>0</v>
      </c>
      <c r="AE110" s="280">
        <f>MMULT(INDEX(ReportAssetWeightsAdverse,ROW()-ROW(AE$105),1):INDEX(ReportAssetWeightsAdverse,ROW()-ROW(AE$105),NumberOfAssets),INT(INDEX(tblAssetMenuSpecs[Is Cash and Deposits],1):(INDEX(tblAssetMenuSpecs[Is Cash and Deposits],NumberOfAssets))))</f>
        <v>1</v>
      </c>
    </row>
    <row r="111" spans="6:31" x14ac:dyDescent="0.25">
      <c r="F111" s="278">
        <f t="shared" si="1"/>
        <v>0</v>
      </c>
      <c r="G111" s="279">
        <f>MMULT(INDEX(ReportAssetWeightsAdverse,ROW()-ROW(G$105),1):INDEX(ReportAssetWeightsAdverse,ROW()-ROW(G$105),NumberOfAssets),INT(INDEX(tblAssetMenuSpecs[IsEquities],1):(INDEX(tblAssetMenuSpecs[IsEquities],NumberOfAssets))))</f>
        <v>0</v>
      </c>
      <c r="H111" s="279">
        <f>MMULT(INDEX(ReportAssetWeightsAdverse,ROW()-ROW(H$105),1):INDEX(ReportAssetWeightsAdverse,ROW()-ROW(H$105),NumberOfAssets),INT(INDEX(tblAssetMenuSpecs[IsRealEstate],1):(INDEX(tblAssetMenuSpecs[IsRealEstate],NumberOfAssets))))</f>
        <v>0</v>
      </c>
      <c r="I111" s="279">
        <f>MMULT(INDEX(ReportAssetWeightsAdverse,ROW()-ROW(I$105),1):INDEX(ReportAssetWeightsAdverse,ROW()-ROW(I$105),NumberOfAssets),INT(INDEX(tblAssetMenuSpecs[IsAlternatives],1):(INDEX(tblAssetMenuSpecs[IsAlternatives],NumberOfAssets))))</f>
        <v>0</v>
      </c>
      <c r="J111" s="279">
        <f>MMULT(INDEX(ReportAssetWeightsAdverse,ROW()-ROW(J$105),1):INDEX(ReportAssetWeightsAdverse,ROW()-ROW(J$105),NumberOfAssets),INT(INDEX(tblAssetMenuSpecs[IsFixedIncome],1):(INDEX(tblAssetMenuSpecs[IsFixedIncome],NumberOfAssets))))</f>
        <v>1</v>
      </c>
      <c r="L111" s="280">
        <f>MMULT(INDEX(ReportAssetWeightsAdverse,ROW()-ROW(L$105),1):INDEX(ReportAssetWeightsAdverse,ROW()-ROW(L$105),NumberOfAssets),INT(INDEX(tblAssetMenuSpecs[Is Equities EU],1):(INDEX(tblAssetMenuSpecs[Is Equities EU],NumberOfAssets))))</f>
        <v>0</v>
      </c>
      <c r="M111" s="280">
        <f>MMULT(INDEX(ReportAssetWeightsAdverse,ROW()-ROW(M$105),1):INDEX(ReportAssetWeightsAdverse,ROW()-ROW(M$105),NumberOfAssets),INT(INDEX(tblAssetMenuSpecs[Is Equities US],1):(INDEX(tblAssetMenuSpecs[Is Equities US],NumberOfAssets))))</f>
        <v>0</v>
      </c>
      <c r="N111" s="280">
        <f>MMULT(INDEX(ReportAssetWeightsAdverse,ROW()-ROW(N$105),1):INDEX(ReportAssetWeightsAdverse,ROW()-ROW(N$105),NumberOfAssets),INT(INDEX(tblAssetMenuSpecs[Is Equities Other Developed Markets],1):(INDEX(tblAssetMenuSpecs[Is Equities Other Developed Markets],NumberOfAssets))))</f>
        <v>0</v>
      </c>
      <c r="O111" s="280">
        <f>MMULT(INDEX(ReportAssetWeightsAdverse,ROW()-ROW(O$105),1):INDEX(ReportAssetWeightsAdverse,ROW()-ROW(O$105),NumberOfAssets),INT(INDEX(tblAssetMenuSpecs[Is Equities Emerging Markets],1):(INDEX(tblAssetMenuSpecs[Is Equities Emerging Markets],NumberOfAssets))))</f>
        <v>0</v>
      </c>
      <c r="P111" s="280">
        <f>MMULT(INDEX(ReportAssetWeightsAdverse,ROW()-ROW(P$105),1):INDEX(ReportAssetWeightsAdverse,ROW()-ROW(P$105),NumberOfAssets),INT(INDEX(tblAssetMenuSpecs[Is Commodities],1):(INDEX(tblAssetMenuSpecs[Is Commodities],NumberOfAssets))))</f>
        <v>0</v>
      </c>
      <c r="Q111" s="280">
        <f>MMULT(INDEX(ReportAssetWeightsAdverse,ROW()-ROW(Q$105),1):INDEX(ReportAssetWeightsAdverse,ROW()-ROW(Q$105),NumberOfAssets),INT(INDEX(tblAssetMenuSpecs[Is Private Equity],1):(INDEX(tblAssetMenuSpecs[Is Private Equity],NumberOfAssets))))</f>
        <v>0</v>
      </c>
      <c r="R111" s="280">
        <f>MMULT(INDEX(ReportAssetWeightsAdverse,ROW()-ROW(R$105),1):INDEX(ReportAssetWeightsAdverse,ROW()-ROW(R$105),NumberOfAssets),INT(INDEX(tblAssetMenuSpecs[Is Hedge Funds],1):(INDEX(tblAssetMenuSpecs[Is Hedge Funds],NumberOfAssets))))</f>
        <v>0</v>
      </c>
      <c r="S111" s="280">
        <f>MMULT(INDEX(ReportAssetWeightsAdverse,ROW()-ROW(S$105),1):INDEX(ReportAssetWeightsAdverse,ROW()-ROW(S$105),NumberOfAssets),INT(INDEX(tblAssetMenuSpecs[Is Real Estate EU],1):(INDEX(tblAssetMenuSpecs[Is Real Estate EU],NumberOfAssets))))</f>
        <v>0</v>
      </c>
      <c r="T111" s="280">
        <f>MMULT(INDEX(ReportAssetWeightsAdverse,ROW()-ROW(T$105),1):INDEX(ReportAssetWeightsAdverse,ROW()-ROW(T$105),NumberOfAssets),INT(INDEX(tblAssetMenuSpecs[Is Real Estate US],1):(INDEX(tblAssetMenuSpecs[Is Real Estate US],NumberOfAssets))))</f>
        <v>0</v>
      </c>
      <c r="U111" s="280">
        <f>MMULT(INDEX(ReportAssetWeightsAdverse,ROW()-ROW(U$105),1):INDEX(ReportAssetWeightsAdverse,ROW()-ROW(U$105),NumberOfAssets),INT(INDEX(tblAssetMenuSpecs[Is Real Estate Other Developed Markets],1):(INDEX(tblAssetMenuSpecs[Is Real Estate Other Developed Markets],NumberOfAssets))))</f>
        <v>0</v>
      </c>
      <c r="V111" s="280">
        <f>MMULT(INDEX(ReportAssetWeightsAdverse,ROW()-ROW(V$105),1):INDEX(ReportAssetWeightsAdverse,ROW()-ROW(V$105),NumberOfAssets),INT(INDEX(tblAssetMenuSpecs[Is Real Estate Commercial EU (non-leveraged)],1):(INDEX(tblAssetMenuSpecs[Is Real Estate Commercial EU (non-leveraged)],NumberOfAssets))))</f>
        <v>0</v>
      </c>
      <c r="W111" s="280">
        <f>MMULT(INDEX(ReportAssetWeightsAdverse,ROW()-ROW(W$105),1):INDEX(ReportAssetWeightsAdverse,ROW()-ROW(W$105),NumberOfAssets),INT(INDEX(tblAssetMenuSpecs[Is Real Estate Residential EU (non-leveraged)],1):(INDEX(tblAssetMenuSpecs[Is Real Estate Residential EU (non-leveraged)],NumberOfAssets))))</f>
        <v>0</v>
      </c>
      <c r="X111" s="280">
        <f>MMULT(INDEX(ReportAssetWeightsAdverse,ROW()-ROW(X$105),1):INDEX(ReportAssetWeightsAdverse,ROW()-ROW(X$105),NumberOfAssets),INT(INDEX(tblAssetMenuSpecs[Is Government Bond EU],1):(INDEX(tblAssetMenuSpecs[Is Government Bond EU],NumberOfAssets))))</f>
        <v>0</v>
      </c>
      <c r="Y111" s="280">
        <f>MMULT(INDEX(ReportAssetWeightsAdverse,ROW()-ROW(Y$105),1):INDEX(ReportAssetWeightsAdverse,ROW()-ROW(Y$105),NumberOfAssets),INT(INDEX(tblAssetMenuSpecs[Is Government Bond US],1):(INDEX(tblAssetMenuSpecs[Is Government Bond US],NumberOfAssets))))</f>
        <v>0</v>
      </c>
      <c r="Z111" s="280">
        <f>MMULT(INDEX(ReportAssetWeightsAdverse,ROW()-ROW(Z$105),1):INDEX(ReportAssetWeightsAdverse,ROW()-ROW(Z$105),NumberOfAssets),INT(INDEX(tblAssetMenuSpecs[Is Government Bond Other Developed Markets],1):(INDEX(tblAssetMenuSpecs[Is Government Bond Other Developed Markets],NumberOfAssets))))</f>
        <v>0</v>
      </c>
      <c r="AA111" s="280">
        <f>MMULT(INDEX(ReportAssetWeightsAdverse,ROW()-ROW(AA$105),1):INDEX(ReportAssetWeightsAdverse,ROW()-ROW(AA$105),NumberOfAssets),INT(INDEX(tblAssetMenuSpecs[Is Government Bond Emerging Markets],1):(INDEX(tblAssetMenuSpecs[Is Government Bond Emerging Markets],NumberOfAssets))))</f>
        <v>0</v>
      </c>
      <c r="AB111" s="280">
        <f>MMULT(INDEX(ReportAssetWeightsAdverse,ROW()-ROW(AB$105),1):INDEX(ReportAssetWeightsAdverse,ROW()-ROW(AB$105),NumberOfAssets),INT(INDEX(tblAssetMenuSpecs[Is Corporate Bond],1):(INDEX(tblAssetMenuSpecs[Is Corporate Bond],NumberOfAssets))))</f>
        <v>0</v>
      </c>
      <c r="AC111" s="280">
        <f>MMULT(INDEX(ReportAssetWeightsAdverse,ROW()-ROW(AC$105),1):INDEX(ReportAssetWeightsAdverse,ROW()-ROW(AC$105),NumberOfAssets),INT(INDEX(tblAssetMenuSpecs[Is Corporate Bond Non-Financial],1):(INDEX(tblAssetMenuSpecs[Is Corporate Bond Non-Financial],NumberOfAssets))))</f>
        <v>0</v>
      </c>
      <c r="AD111" s="280">
        <f>MMULT(INDEX(ReportAssetWeightsAdverse,ROW()-ROW(AD$105),1):INDEX(ReportAssetWeightsAdverse,ROW()-ROW(AD$105),NumberOfAssets),INT(INDEX(tblAssetMenuSpecs[Is Corporate Bond Financial],1):(INDEX(tblAssetMenuSpecs[Is Corporate Bond Financial],NumberOfAssets))))</f>
        <v>0</v>
      </c>
      <c r="AE111" s="280">
        <f>MMULT(INDEX(ReportAssetWeightsAdverse,ROW()-ROW(AE$105),1):INDEX(ReportAssetWeightsAdverse,ROW()-ROW(AE$105),NumberOfAssets),INT(INDEX(tblAssetMenuSpecs[Is Cash and Deposits],1):(INDEX(tblAssetMenuSpecs[Is Cash and Deposits],NumberOfAssets))))</f>
        <v>1</v>
      </c>
    </row>
  </sheetData>
  <sheetProtection algorithmName="SHA-512" hashValue="gq2uwGXd3my/83qIiae7t/WBikpehfU09dE7O2TvwyaaMlUrWiWn5BgdlbFvGASN3gizlmNP00/1NlGmGWKfaQ==" saltValue="SX4b8ydOkzYSDKbwiNobzg==" spinCount="100000" sheet="1" objects="1" scenarios="1"/>
  <dataConsolidate leftLabels="1"/>
  <dataValidations count="2">
    <dataValidation showInputMessage="1" showErrorMessage="1" sqref="H95:J95 H105:J105"/>
    <dataValidation type="list" allowBlank="1" showInputMessage="1" showErrorMessage="1" sqref="B10">
      <formula1>ListMemberSheets</formula1>
    </dataValidation>
  </dataValidation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9" tint="0.39997558519241921"/>
  </sheetPr>
  <dimension ref="A1:AI57"/>
  <sheetViews>
    <sheetView zoomScaleNormal="100" workbookViewId="0">
      <pane xSplit="4" ySplit="6" topLeftCell="T7" activePane="bottomRight" state="frozen"/>
      <selection activeCell="B2" sqref="B2"/>
      <selection pane="topRight" activeCell="B2" sqref="B2"/>
      <selection pane="bottomLeft" activeCell="B2" sqref="B2"/>
      <selection pane="bottomRight" activeCell="T7" sqref="T7:AG57"/>
    </sheetView>
  </sheetViews>
  <sheetFormatPr defaultColWidth="9.140625" defaultRowHeight="15" x14ac:dyDescent="0.25"/>
  <cols>
    <col min="1" max="1" width="13.140625" style="19" customWidth="1"/>
    <col min="2" max="2" width="16.140625" style="19" customWidth="1"/>
    <col min="3" max="3" width="7" customWidth="1"/>
    <col min="4" max="13" width="9.140625" customWidth="1"/>
    <col min="14" max="18" width="9.140625" style="3" customWidth="1"/>
    <col min="19" max="19" width="5.140625" customWidth="1"/>
    <col min="20" max="26" width="13.85546875" style="3" bestFit="1" customWidth="1"/>
    <col min="27" max="27" width="12.7109375" style="3" bestFit="1" customWidth="1"/>
    <col min="28" max="28" width="13.85546875" style="3" bestFit="1" customWidth="1"/>
    <col min="29" max="29" width="12.5703125" bestFit="1" customWidth="1"/>
    <col min="30" max="31" width="12.5703125" style="3" customWidth="1"/>
    <col min="32" max="32" width="12.7109375" customWidth="1"/>
    <col min="33" max="33" width="12.7109375" style="3" customWidth="1"/>
    <col min="34" max="35" width="12.5703125" bestFit="1" customWidth="1"/>
  </cols>
  <sheetData>
    <row r="1" spans="1:35" x14ac:dyDescent="0.25">
      <c r="A1" s="19" t="s">
        <v>71</v>
      </c>
      <c r="B1" s="19" t="s">
        <v>93</v>
      </c>
    </row>
    <row r="2" spans="1:35" ht="26.25" x14ac:dyDescent="0.4">
      <c r="A2" s="18" t="s">
        <v>73</v>
      </c>
      <c r="B2" s="19">
        <v>1.1000000000000001</v>
      </c>
      <c r="D2" s="6" t="s">
        <v>61</v>
      </c>
      <c r="T2" s="43"/>
      <c r="U2" s="43"/>
      <c r="V2" s="43"/>
      <c r="W2" s="43"/>
      <c r="X2" s="43"/>
      <c r="Y2" s="43"/>
      <c r="Z2" s="43"/>
      <c r="AA2" s="43"/>
      <c r="AB2" s="43"/>
      <c r="AC2" s="43"/>
      <c r="AD2" s="43"/>
      <c r="AE2" s="43"/>
      <c r="AF2" s="43"/>
      <c r="AG2" s="43"/>
      <c r="AH2" s="43"/>
      <c r="AI2" s="43"/>
    </row>
    <row r="3" spans="1:35" s="3" customFormat="1" ht="15" customHeight="1" x14ac:dyDescent="0.4">
      <c r="A3" s="19" t="s">
        <v>89</v>
      </c>
      <c r="B3" s="19">
        <v>1</v>
      </c>
      <c r="D3" s="6"/>
    </row>
    <row r="4" spans="1:35" x14ac:dyDescent="0.25">
      <c r="A4" s="19" t="s">
        <v>90</v>
      </c>
      <c r="B4" s="19">
        <v>3</v>
      </c>
      <c r="D4" s="407" t="s">
        <v>62</v>
      </c>
      <c r="E4" s="407"/>
      <c r="F4" s="407"/>
      <c r="G4" s="407"/>
      <c r="H4" s="407"/>
      <c r="I4" s="407"/>
      <c r="J4" s="407"/>
      <c r="K4" s="407"/>
      <c r="L4" s="407"/>
      <c r="M4" s="407"/>
      <c r="N4" s="36"/>
      <c r="O4" s="74"/>
      <c r="P4" s="74"/>
      <c r="Q4" s="62"/>
      <c r="R4" s="314"/>
      <c r="T4" s="407"/>
      <c r="U4" s="407"/>
      <c r="V4" s="407"/>
      <c r="W4" s="407"/>
      <c r="X4" s="407"/>
      <c r="Y4" s="407"/>
      <c r="Z4" s="407"/>
      <c r="AA4" s="407"/>
      <c r="AB4" s="407"/>
      <c r="AC4" s="7"/>
      <c r="AD4" s="7"/>
      <c r="AE4" s="7"/>
      <c r="AF4" s="7"/>
      <c r="AG4" s="7"/>
    </row>
    <row r="5" spans="1:35" x14ac:dyDescent="0.25">
      <c r="A5" s="19" t="s">
        <v>91</v>
      </c>
      <c r="B5" s="19">
        <v>58</v>
      </c>
      <c r="D5" s="7" t="s">
        <v>59</v>
      </c>
      <c r="E5" s="7"/>
      <c r="F5" s="7"/>
      <c r="G5" s="7"/>
      <c r="H5" s="7"/>
      <c r="I5" s="7"/>
      <c r="J5" s="7"/>
      <c r="K5" s="7"/>
      <c r="L5" s="7"/>
      <c r="M5" s="7"/>
      <c r="N5" s="7"/>
      <c r="O5" s="7"/>
      <c r="P5" s="7"/>
      <c r="Q5" s="7"/>
      <c r="R5" s="7"/>
      <c r="T5" s="7"/>
      <c r="U5" s="7"/>
      <c r="V5" s="7"/>
      <c r="W5" s="7"/>
      <c r="X5" s="7"/>
      <c r="Y5" s="7"/>
      <c r="Z5" s="7"/>
      <c r="AA5" s="7"/>
      <c r="AB5" s="7"/>
      <c r="AC5" s="7"/>
      <c r="AD5" s="7"/>
      <c r="AE5" s="7"/>
      <c r="AF5" s="7"/>
      <c r="AG5" s="7"/>
    </row>
    <row r="6" spans="1:35" x14ac:dyDescent="0.25">
      <c r="A6" s="19" t="s">
        <v>92</v>
      </c>
      <c r="B6" s="19">
        <v>18</v>
      </c>
      <c r="D6" s="7"/>
      <c r="E6" s="39" t="s">
        <v>2</v>
      </c>
      <c r="F6" s="39" t="s">
        <v>19</v>
      </c>
      <c r="G6" s="39" t="s">
        <v>21</v>
      </c>
      <c r="H6" s="39" t="s">
        <v>22</v>
      </c>
      <c r="I6" s="39" t="s">
        <v>20</v>
      </c>
      <c r="J6" s="39" t="s">
        <v>1</v>
      </c>
      <c r="K6" s="39" t="s">
        <v>23</v>
      </c>
      <c r="L6" s="39" t="s">
        <v>24</v>
      </c>
      <c r="M6" s="39" t="s">
        <v>12</v>
      </c>
      <c r="N6" s="39" t="s">
        <v>159</v>
      </c>
      <c r="O6" s="39" t="s">
        <v>379</v>
      </c>
      <c r="P6" s="39" t="s">
        <v>515</v>
      </c>
      <c r="Q6" s="39" t="s">
        <v>521</v>
      </c>
      <c r="R6" s="39" t="s">
        <v>647</v>
      </c>
      <c r="T6" s="39" t="s">
        <v>2</v>
      </c>
      <c r="U6" s="39" t="s">
        <v>19</v>
      </c>
      <c r="V6" s="39" t="s">
        <v>21</v>
      </c>
      <c r="W6" s="39" t="s">
        <v>22</v>
      </c>
      <c r="X6" s="39" t="s">
        <v>20</v>
      </c>
      <c r="Y6" s="39" t="s">
        <v>1</v>
      </c>
      <c r="Z6" s="39" t="s">
        <v>23</v>
      </c>
      <c r="AA6" s="39" t="s">
        <v>24</v>
      </c>
      <c r="AB6" s="39" t="s">
        <v>12</v>
      </c>
      <c r="AC6" s="39" t="s">
        <v>159</v>
      </c>
      <c r="AD6" s="39" t="s">
        <v>379</v>
      </c>
      <c r="AE6" s="39" t="s">
        <v>515</v>
      </c>
      <c r="AF6" s="39" t="s">
        <v>521</v>
      </c>
      <c r="AG6" s="39" t="s">
        <v>647</v>
      </c>
    </row>
    <row r="7" spans="1:35" x14ac:dyDescent="0.25">
      <c r="A7" s="18" t="s">
        <v>94</v>
      </c>
      <c r="B7" s="19" t="b">
        <v>0</v>
      </c>
      <c r="D7" s="7">
        <v>20</v>
      </c>
      <c r="E7" s="12">
        <f>E8</f>
        <v>1.9685721381650367E-2</v>
      </c>
      <c r="F7" s="12">
        <f t="shared" ref="F7:R7" si="0">F8</f>
        <v>3.6892223710243588E-2</v>
      </c>
      <c r="G7" s="12">
        <f t="shared" si="0"/>
        <v>2.3594201566617734E-2</v>
      </c>
      <c r="H7" s="12">
        <f t="shared" si="0"/>
        <v>3.0733620662299677E-2</v>
      </c>
      <c r="I7" s="12">
        <f t="shared" si="0"/>
        <v>1.7919432395386403E-2</v>
      </c>
      <c r="J7" s="12">
        <f t="shared" si="0"/>
        <v>3.5054165886672317E-2</v>
      </c>
      <c r="K7" s="12">
        <f t="shared" si="0"/>
        <v>3.0555443149157702E-2</v>
      </c>
      <c r="L7" s="12">
        <f t="shared" si="0"/>
        <v>1.5040905873393351E-2</v>
      </c>
      <c r="M7" s="12">
        <f t="shared" si="0"/>
        <v>3.6150211827795209E-2</v>
      </c>
      <c r="N7" s="12">
        <f t="shared" si="0"/>
        <v>2.917545055767512E-2</v>
      </c>
      <c r="O7" s="12">
        <f t="shared" si="0"/>
        <v>2.1219708525888281E-2</v>
      </c>
      <c r="P7" s="12">
        <f t="shared" si="0"/>
        <v>2.3842122945628708E-2</v>
      </c>
      <c r="Q7" s="12">
        <f t="shared" si="0"/>
        <v>2.4507132203079873E-2</v>
      </c>
      <c r="R7" s="12">
        <f t="shared" si="0"/>
        <v>2.1555121197402993E-2</v>
      </c>
      <c r="T7" s="41">
        <v>32425.145191541771</v>
      </c>
      <c r="U7" s="41">
        <v>12613.100919893166</v>
      </c>
      <c r="V7" s="41">
        <v>17372.112163767339</v>
      </c>
      <c r="W7" s="41">
        <v>29154.760964542929</v>
      </c>
      <c r="X7" s="41">
        <v>22649.976993669374</v>
      </c>
      <c r="Y7" s="41">
        <v>27276.598249086055</v>
      </c>
      <c r="Z7" s="41">
        <v>8985.605882333497</v>
      </c>
      <c r="AA7" s="41">
        <v>9975.5867879710677</v>
      </c>
      <c r="AB7" s="41">
        <v>19850.463387438169</v>
      </c>
      <c r="AC7" s="41">
        <v>28020.83991764611</v>
      </c>
      <c r="AD7" s="41">
        <v>4680480.6590161929</v>
      </c>
      <c r="AE7" s="41">
        <v>11774.289796292558</v>
      </c>
      <c r="AF7" s="41">
        <v>62293.159285987073</v>
      </c>
      <c r="AG7" s="41">
        <v>23965.4142276354</v>
      </c>
    </row>
    <row r="8" spans="1:35" x14ac:dyDescent="0.25">
      <c r="A8" s="19" t="s">
        <v>96</v>
      </c>
      <c r="B8" s="19" t="b">
        <v>1</v>
      </c>
      <c r="D8" s="7">
        <v>21</v>
      </c>
      <c r="E8" s="12">
        <f t="shared" ref="E8:N8" si="1">MAX(T8/T7-1,0)</f>
        <v>1.9685721381650367E-2</v>
      </c>
      <c r="F8" s="12">
        <f t="shared" si="1"/>
        <v>3.6892223710243588E-2</v>
      </c>
      <c r="G8" s="12">
        <f t="shared" si="1"/>
        <v>2.3594201566617734E-2</v>
      </c>
      <c r="H8" s="12">
        <f t="shared" si="1"/>
        <v>3.0733620662299677E-2</v>
      </c>
      <c r="I8" s="12">
        <f t="shared" si="1"/>
        <v>1.7919432395386403E-2</v>
      </c>
      <c r="J8" s="12">
        <f t="shared" si="1"/>
        <v>3.5054165886672317E-2</v>
      </c>
      <c r="K8" s="12">
        <f t="shared" si="1"/>
        <v>3.0555443149157702E-2</v>
      </c>
      <c r="L8" s="12">
        <f t="shared" si="1"/>
        <v>1.5040905873393351E-2</v>
      </c>
      <c r="M8" s="12">
        <f t="shared" si="1"/>
        <v>3.6150211827795209E-2</v>
      </c>
      <c r="N8" s="12">
        <f t="shared" si="1"/>
        <v>2.917545055767512E-2</v>
      </c>
      <c r="O8" s="12">
        <f>MAX(AD8/AD7-1,0)</f>
        <v>2.1219708525888281E-2</v>
      </c>
      <c r="P8" s="12">
        <f>MAX(AE8/AE7-1,0)</f>
        <v>2.3842122945628708E-2</v>
      </c>
      <c r="Q8" s="12">
        <f>MAX(AF8/AF7-1,0)</f>
        <v>2.4507132203079873E-2</v>
      </c>
      <c r="R8" s="12">
        <f>MAX(AG8/AG7-1,0)</f>
        <v>2.1555121197402993E-2</v>
      </c>
      <c r="T8" s="41">
        <v>33063.457565542019</v>
      </c>
      <c r="U8" s="41">
        <v>13078.426260709744</v>
      </c>
      <c r="V8" s="41">
        <v>17781.993279797156</v>
      </c>
      <c r="W8" s="41">
        <v>30050.792328527215</v>
      </c>
      <c r="X8" s="41">
        <v>23055.851725164492</v>
      </c>
      <c r="Y8" s="41">
        <v>28232.756648933631</v>
      </c>
      <c r="Z8" s="41">
        <v>9260.1650520318744</v>
      </c>
      <c r="AA8" s="41">
        <v>10125.628649880808</v>
      </c>
      <c r="AB8" s="41">
        <v>20568.06184377395</v>
      </c>
      <c r="AC8" s="41">
        <v>28838.360547247925</v>
      </c>
      <c r="AD8" s="41">
        <v>4779799.0943615744</v>
      </c>
      <c r="AE8" s="41">
        <v>12055.013861213227</v>
      </c>
      <c r="AF8" s="41">
        <v>63819.785975956271</v>
      </c>
      <c r="AG8" s="41">
        <v>24481.991635858045</v>
      </c>
    </row>
    <row r="9" spans="1:35" x14ac:dyDescent="0.25">
      <c r="A9" s="19" t="s">
        <v>434</v>
      </c>
      <c r="B9" s="42" t="b">
        <v>0</v>
      </c>
      <c r="D9" s="7">
        <v>22</v>
      </c>
      <c r="E9" s="12">
        <f t="shared" ref="E9:E57" si="2">MAX(T9/T8-1,0)</f>
        <v>1.9685721381650367E-2</v>
      </c>
      <c r="F9" s="12">
        <f t="shared" ref="F9:F57" si="3">MAX(U9/U8-1,0)</f>
        <v>3.6892223710243588E-2</v>
      </c>
      <c r="G9" s="12">
        <f t="shared" ref="G9:G57" si="4">MAX(V9/V8-1,0)</f>
        <v>2.3594201566617734E-2</v>
      </c>
      <c r="H9" s="12">
        <f t="shared" ref="H9:H57" si="5">MAX(W9/W8-1,0)</f>
        <v>3.0733620662299677E-2</v>
      </c>
      <c r="I9" s="12">
        <f t="shared" ref="I9:I57" si="6">MAX(X9/X8-1,0)</f>
        <v>1.7919432395386625E-2</v>
      </c>
      <c r="J9" s="12">
        <f t="shared" ref="J9:J57" si="7">MAX(Y9/Y8-1,0)</f>
        <v>3.5054165886672317E-2</v>
      </c>
      <c r="K9" s="12">
        <f t="shared" ref="K9:K57" si="8">MAX(Z9/Z8-1,0)</f>
        <v>3.055544314915748E-2</v>
      </c>
      <c r="L9" s="12">
        <f t="shared" ref="L9:L57" si="9">MAX(AA9/AA8-1,0)</f>
        <v>1.5040905873393573E-2</v>
      </c>
      <c r="M9" s="12">
        <f t="shared" ref="M9:M57" si="10">MAX(AB9/AB8-1,0)</f>
        <v>3.6150211827795209E-2</v>
      </c>
      <c r="N9" s="12">
        <f t="shared" ref="N9:N57" si="11">MAX(AC9/AC8-1,0)</f>
        <v>2.917545055767512E-2</v>
      </c>
      <c r="O9" s="12">
        <f t="shared" ref="O9:O57" si="12">MAX(AD9/AD8-1,0)</f>
        <v>2.1219708525888281E-2</v>
      </c>
      <c r="P9" s="12">
        <f t="shared" ref="P9:P57" si="13">MAX(AE9/AE8-1,0)</f>
        <v>2.3842122945628708E-2</v>
      </c>
      <c r="Q9" s="12">
        <f t="shared" ref="Q9:R57" si="14">MAX(AF9/AF8-1,0)</f>
        <v>2.4507132203079873E-2</v>
      </c>
      <c r="R9" s="12">
        <f t="shared" si="14"/>
        <v>2.1555121197402771E-2</v>
      </c>
      <c r="T9" s="41">
        <v>33714.335579091297</v>
      </c>
      <c r="U9" s="41">
        <v>13560.918488097774</v>
      </c>
      <c r="V9" s="41">
        <v>18201.545213496931</v>
      </c>
      <c r="W9" s="41">
        <v>30974.361980553716</v>
      </c>
      <c r="X9" s="41">
        <v>23468.999501471633</v>
      </c>
      <c r="Y9" s="41">
        <v>29222.4323839434</v>
      </c>
      <c r="Z9" s="41">
        <v>9543.1134988310496</v>
      </c>
      <c r="AA9" s="41">
        <v>10277.927277312601</v>
      </c>
      <c r="AB9" s="41">
        <v>21311.601636313571</v>
      </c>
      <c r="AC9" s="41">
        <v>29679.732709558568</v>
      </c>
      <c r="AD9" s="41">
        <v>4881225.0379562322</v>
      </c>
      <c r="AE9" s="41">
        <v>12342.430983803531</v>
      </c>
      <c r="AF9" s="41">
        <v>65383.82590804129</v>
      </c>
      <c r="AG9" s="41">
        <v>25009.703932722769</v>
      </c>
    </row>
    <row r="10" spans="1:35" x14ac:dyDescent="0.25">
      <c r="D10" s="7">
        <v>23</v>
      </c>
      <c r="E10" s="12">
        <f t="shared" si="2"/>
        <v>1.9685721381650367E-2</v>
      </c>
      <c r="F10" s="12">
        <f t="shared" si="3"/>
        <v>3.6892223710243588E-2</v>
      </c>
      <c r="G10" s="12">
        <f t="shared" si="4"/>
        <v>2.3594201566617734E-2</v>
      </c>
      <c r="H10" s="12">
        <f t="shared" si="5"/>
        <v>3.0733620662299677E-2</v>
      </c>
      <c r="I10" s="12">
        <f t="shared" si="6"/>
        <v>1.7919432395386625E-2</v>
      </c>
      <c r="J10" s="12">
        <f t="shared" si="7"/>
        <v>3.5054165886672317E-2</v>
      </c>
      <c r="K10" s="12">
        <f t="shared" si="8"/>
        <v>3.055544314915748E-2</v>
      </c>
      <c r="L10" s="12">
        <f t="shared" si="9"/>
        <v>1.5040905873393351E-2</v>
      </c>
      <c r="M10" s="12">
        <f t="shared" si="10"/>
        <v>3.6150211827795431E-2</v>
      </c>
      <c r="N10" s="12">
        <f t="shared" si="11"/>
        <v>2.917545055767512E-2</v>
      </c>
      <c r="O10" s="12">
        <f t="shared" si="12"/>
        <v>2.1219708525888281E-2</v>
      </c>
      <c r="P10" s="12">
        <f t="shared" si="13"/>
        <v>2.3842122945628708E-2</v>
      </c>
      <c r="Q10" s="12">
        <f t="shared" si="14"/>
        <v>2.4507132203079873E-2</v>
      </c>
      <c r="R10" s="12">
        <f t="shared" si="14"/>
        <v>2.1555121197402993E-2</v>
      </c>
      <c r="T10" s="41">
        <v>34378.026595868752</v>
      </c>
      <c r="U10" s="41">
        <v>14061.210926677055</v>
      </c>
      <c r="V10" s="41">
        <v>18630.996140088082</v>
      </c>
      <c r="W10" s="41">
        <v>31926.316271920812</v>
      </c>
      <c r="X10" s="41">
        <v>23889.550651425616</v>
      </c>
      <c r="Y10" s="41">
        <v>30246.800376342217</v>
      </c>
      <c r="Z10" s="41">
        <v>9834.7075608105388</v>
      </c>
      <c r="AA10" s="41">
        <v>10432.516614064243</v>
      </c>
      <c r="AB10" s="41">
        <v>22082.020549855897</v>
      </c>
      <c r="AC10" s="41">
        <v>30545.652283791307</v>
      </c>
      <c r="AD10" s="41">
        <v>4984803.2105109319</v>
      </c>
      <c r="AE10" s="41">
        <v>12636.700740767312</v>
      </c>
      <c r="AF10" s="41">
        <v>66986.195973512818</v>
      </c>
      <c r="AG10" s="41">
        <v>25548.791132103772</v>
      </c>
    </row>
    <row r="11" spans="1:35" x14ac:dyDescent="0.25">
      <c r="D11" s="7">
        <v>24</v>
      </c>
      <c r="E11" s="12">
        <f t="shared" si="2"/>
        <v>1.9685721381650367E-2</v>
      </c>
      <c r="F11" s="12">
        <f t="shared" si="3"/>
        <v>3.6892223710243588E-2</v>
      </c>
      <c r="G11" s="12">
        <f t="shared" si="4"/>
        <v>2.3594201566617512E-2</v>
      </c>
      <c r="H11" s="12">
        <f t="shared" si="5"/>
        <v>3.0733620662299677E-2</v>
      </c>
      <c r="I11" s="12">
        <f t="shared" si="6"/>
        <v>1.7919432395386625E-2</v>
      </c>
      <c r="J11" s="12">
        <f t="shared" si="7"/>
        <v>3.5054165886672317E-2</v>
      </c>
      <c r="K11" s="12">
        <f t="shared" si="8"/>
        <v>3.055544314915748E-2</v>
      </c>
      <c r="L11" s="12">
        <f t="shared" si="9"/>
        <v>1.5040905873393573E-2</v>
      </c>
      <c r="M11" s="12">
        <f t="shared" si="10"/>
        <v>3.6150211827795431E-2</v>
      </c>
      <c r="N11" s="12">
        <f t="shared" si="11"/>
        <v>2.917545055767512E-2</v>
      </c>
      <c r="O11" s="12">
        <f t="shared" si="12"/>
        <v>2.1219708525888503E-2</v>
      </c>
      <c r="P11" s="12">
        <f t="shared" si="13"/>
        <v>2.3842122945628708E-2</v>
      </c>
      <c r="Q11" s="12">
        <f t="shared" si="14"/>
        <v>2.4507132203079873E-2</v>
      </c>
      <c r="R11" s="12">
        <f t="shared" si="14"/>
        <v>2.1555121197402993E-2</v>
      </c>
      <c r="T11" s="41">
        <v>35054.78284908599</v>
      </c>
      <c r="U11" s="41">
        <v>14579.960265820946</v>
      </c>
      <c r="V11" s="41">
        <v>19070.579618404194</v>
      </c>
      <c r="W11" s="41">
        <v>32907.527565366632</v>
      </c>
      <c r="X11" s="41">
        <v>24317.63783928</v>
      </c>
      <c r="Y11" s="41">
        <v>31307.076734275579</v>
      </c>
      <c r="Z11" s="41">
        <v>10135.211408573474</v>
      </c>
      <c r="AA11" s="41">
        <v>10589.431114478997</v>
      </c>
      <c r="AB11" s="41">
        <v>22880.290270318917</v>
      </c>
      <c r="AC11" s="41">
        <v>31436.835451748997</v>
      </c>
      <c r="AD11" s="41">
        <v>5090579.2816968868</v>
      </c>
      <c r="AE11" s="41">
        <v>12937.986513455804</v>
      </c>
      <c r="AF11" s="41">
        <v>68627.835534017111</v>
      </c>
      <c r="AG11" s="41">
        <v>26099.498421403401</v>
      </c>
    </row>
    <row r="12" spans="1:35" x14ac:dyDescent="0.25">
      <c r="A12" s="408" t="s">
        <v>649</v>
      </c>
      <c r="B12" s="408"/>
      <c r="D12" s="7">
        <v>25</v>
      </c>
      <c r="E12" s="12">
        <f t="shared" si="2"/>
        <v>1.9685721381650367E-2</v>
      </c>
      <c r="F12" s="12">
        <f t="shared" si="3"/>
        <v>3.6892223710243588E-2</v>
      </c>
      <c r="G12" s="12">
        <f t="shared" si="4"/>
        <v>2.3594201566617512E-2</v>
      </c>
      <c r="H12" s="12">
        <f t="shared" si="5"/>
        <v>3.0733620662299677E-2</v>
      </c>
      <c r="I12" s="12">
        <f t="shared" si="6"/>
        <v>1.7919432395386625E-2</v>
      </c>
      <c r="J12" s="12">
        <f t="shared" si="7"/>
        <v>3.5054165886672317E-2</v>
      </c>
      <c r="K12" s="12">
        <f t="shared" si="8"/>
        <v>3.0555443149157258E-2</v>
      </c>
      <c r="L12" s="12">
        <f t="shared" si="9"/>
        <v>1.5040905873393573E-2</v>
      </c>
      <c r="M12" s="12">
        <f t="shared" si="10"/>
        <v>3.6150211827795431E-2</v>
      </c>
      <c r="N12" s="12">
        <f t="shared" si="11"/>
        <v>2.917545055767512E-2</v>
      </c>
      <c r="O12" s="12">
        <f t="shared" si="12"/>
        <v>2.1219708525888503E-2</v>
      </c>
      <c r="P12" s="12">
        <f t="shared" si="13"/>
        <v>2.3842122945628708E-2</v>
      </c>
      <c r="Q12" s="12">
        <f t="shared" si="14"/>
        <v>2.4507132203079651E-2</v>
      </c>
      <c r="R12" s="12">
        <f t="shared" si="14"/>
        <v>2.1555121197402993E-2</v>
      </c>
      <c r="T12" s="41">
        <v>35744.861537347351</v>
      </c>
      <c r="U12" s="41">
        <v>15117.847421634075</v>
      </c>
      <c r="V12" s="41">
        <v>19520.534717913051</v>
      </c>
      <c r="W12" s="41">
        <v>33918.895034494781</v>
      </c>
      <c r="X12" s="41">
        <v>24753.396106556473</v>
      </c>
      <c r="Y12" s="41">
        <v>32404.520195545654</v>
      </c>
      <c r="Z12" s="41">
        <v>10444.897284572831</v>
      </c>
      <c r="AA12" s="41">
        <v>10748.70575112466</v>
      </c>
      <c r="AB12" s="41">
        <v>23707.417610272394</v>
      </c>
      <c r="AC12" s="41">
        <v>32354.019290161268</v>
      </c>
      <c r="AD12" s="41">
        <v>5198599.8902824214</v>
      </c>
      <c r="AE12" s="41">
        <v>13246.455578578503</v>
      </c>
      <c r="AF12" s="41">
        <v>70309.706972260479</v>
      </c>
      <c r="AG12" s="41">
        <v>26662.076273068178</v>
      </c>
    </row>
    <row r="13" spans="1:35" x14ac:dyDescent="0.25">
      <c r="A13" s="408"/>
      <c r="B13" s="408"/>
      <c r="D13" s="7">
        <v>26</v>
      </c>
      <c r="E13" s="12">
        <f t="shared" si="2"/>
        <v>1.9685721381650367E-2</v>
      </c>
      <c r="F13" s="12">
        <f t="shared" si="3"/>
        <v>3.6892223710243588E-2</v>
      </c>
      <c r="G13" s="12">
        <f t="shared" si="4"/>
        <v>2.3594201566617512E-2</v>
      </c>
      <c r="H13" s="12">
        <f t="shared" si="5"/>
        <v>3.0733620662299677E-2</v>
      </c>
      <c r="I13" s="12">
        <f t="shared" si="6"/>
        <v>1.7919432395386625E-2</v>
      </c>
      <c r="J13" s="12">
        <f t="shared" si="7"/>
        <v>3.5054165886672317E-2</v>
      </c>
      <c r="K13" s="12">
        <f t="shared" si="8"/>
        <v>3.0555443149157258E-2</v>
      </c>
      <c r="L13" s="12">
        <f t="shared" si="9"/>
        <v>1.5040905873393573E-2</v>
      </c>
      <c r="M13" s="12">
        <f t="shared" si="10"/>
        <v>3.6150211827795431E-2</v>
      </c>
      <c r="N13" s="12">
        <f t="shared" si="11"/>
        <v>2.917545055767512E-2</v>
      </c>
      <c r="O13" s="12">
        <f t="shared" si="12"/>
        <v>2.1219708525888503E-2</v>
      </c>
      <c r="P13" s="12">
        <f t="shared" si="13"/>
        <v>2.3842122945628708E-2</v>
      </c>
      <c r="Q13" s="12">
        <f t="shared" si="14"/>
        <v>2.4507132203079651E-2</v>
      </c>
      <c r="R13" s="12">
        <f t="shared" si="14"/>
        <v>2.1555121197402993E-2</v>
      </c>
      <c r="T13" s="41">
        <v>36448.524922397242</v>
      </c>
      <c r="U13" s="41">
        <v>15675.578430730327</v>
      </c>
      <c r="V13" s="41">
        <v>19981.106148735646</v>
      </c>
      <c r="W13" s="41">
        <v>34961.3454877693</v>
      </c>
      <c r="X13" s="41">
        <v>25196.962914644137</v>
      </c>
      <c r="Y13" s="41">
        <v>33540.433621958335</v>
      </c>
      <c r="Z13" s="41">
        <v>10764.045749750383</v>
      </c>
      <c r="AA13" s="41">
        <v>10910.376022588131</v>
      </c>
      <c r="AB13" s="41">
        <v>24564.445778773748</v>
      </c>
      <c r="AC13" s="41">
        <v>33297.962380303434</v>
      </c>
      <c r="AD13" s="41">
        <v>5308912.66469693</v>
      </c>
      <c r="AE13" s="41">
        <v>13562.279201076781</v>
      </c>
      <c r="AF13" s="41">
        <v>72032.796256189453</v>
      </c>
      <c r="AG13" s="41">
        <v>27236.780558508566</v>
      </c>
    </row>
    <row r="14" spans="1:35" x14ac:dyDescent="0.25">
      <c r="A14" s="408"/>
      <c r="B14" s="408"/>
      <c r="D14" s="7">
        <v>27</v>
      </c>
      <c r="E14" s="12">
        <f t="shared" si="2"/>
        <v>1.9685721381650367E-2</v>
      </c>
      <c r="F14" s="12">
        <f t="shared" si="3"/>
        <v>3.6892223710243588E-2</v>
      </c>
      <c r="G14" s="12">
        <f t="shared" si="4"/>
        <v>2.3594201566617512E-2</v>
      </c>
      <c r="H14" s="12">
        <f t="shared" si="5"/>
        <v>3.0733620662299677E-2</v>
      </c>
      <c r="I14" s="12">
        <f t="shared" si="6"/>
        <v>1.7919432395386625E-2</v>
      </c>
      <c r="J14" s="12">
        <f t="shared" si="7"/>
        <v>3.5054165886672317E-2</v>
      </c>
      <c r="K14" s="12">
        <f t="shared" si="8"/>
        <v>3.0555443149157258E-2</v>
      </c>
      <c r="L14" s="12">
        <f t="shared" si="9"/>
        <v>1.5040905873393573E-2</v>
      </c>
      <c r="M14" s="12">
        <f t="shared" si="10"/>
        <v>3.6150211827795431E-2</v>
      </c>
      <c r="N14" s="12">
        <f t="shared" si="11"/>
        <v>2.917545055767512E-2</v>
      </c>
      <c r="O14" s="12">
        <f t="shared" si="12"/>
        <v>2.1219708525888503E-2</v>
      </c>
      <c r="P14" s="12">
        <f t="shared" si="13"/>
        <v>2.3842122945628708E-2</v>
      </c>
      <c r="Q14" s="12">
        <f t="shared" si="14"/>
        <v>2.4507132203079651E-2</v>
      </c>
      <c r="R14" s="12">
        <f t="shared" si="14"/>
        <v>2.1555121197402993E-2</v>
      </c>
      <c r="T14" s="41">
        <v>37166.040428791697</v>
      </c>
      <c r="U14" s="41">
        <v>16253.885376984299</v>
      </c>
      <c r="V14" s="41">
        <v>20452.544394732893</v>
      </c>
      <c r="W14" s="41">
        <v>36035.834217834003</v>
      </c>
      <c r="X14" s="41">
        <v>25648.478188162167</v>
      </c>
      <c r="Y14" s="41">
        <v>34716.16554605338</v>
      </c>
      <c r="Z14" s="41">
        <v>11092.945937711809</v>
      </c>
      <c r="AA14" s="41">
        <v>11074.477961387209</v>
      </c>
      <c r="AB14" s="41">
        <v>25452.455697108813</v>
      </c>
      <c r="AC14" s="41">
        <v>34269.4454354013</v>
      </c>
      <c r="AD14" s="41">
        <v>5421566.2440311965</v>
      </c>
      <c r="AE14" s="41">
        <v>13885.632729211797</v>
      </c>
      <c r="AF14" s="41">
        <v>73798.113516997386</v>
      </c>
      <c r="AG14" s="41">
        <v>27823.872664474289</v>
      </c>
    </row>
    <row r="15" spans="1:35" x14ac:dyDescent="0.25">
      <c r="D15" s="7">
        <v>28</v>
      </c>
      <c r="E15" s="12">
        <f t="shared" si="2"/>
        <v>1.9685721381650367E-2</v>
      </c>
      <c r="F15" s="12">
        <f t="shared" si="3"/>
        <v>3.6892223710243588E-2</v>
      </c>
      <c r="G15" s="12">
        <f t="shared" si="4"/>
        <v>2.3594201566617512E-2</v>
      </c>
      <c r="H15" s="12">
        <f t="shared" si="5"/>
        <v>3.0733620662299677E-2</v>
      </c>
      <c r="I15" s="12">
        <f t="shared" si="6"/>
        <v>1.7919432395386625E-2</v>
      </c>
      <c r="J15" s="12">
        <f t="shared" si="7"/>
        <v>3.5054165886672317E-2</v>
      </c>
      <c r="K15" s="12">
        <f t="shared" si="8"/>
        <v>3.0555443149157258E-2</v>
      </c>
      <c r="L15" s="12">
        <f t="shared" si="9"/>
        <v>1.5040905873393573E-2</v>
      </c>
      <c r="M15" s="12">
        <f t="shared" si="10"/>
        <v>3.6150211827795431E-2</v>
      </c>
      <c r="N15" s="12">
        <f t="shared" si="11"/>
        <v>2.917545055767512E-2</v>
      </c>
      <c r="O15" s="12">
        <f t="shared" si="12"/>
        <v>2.1219708525888503E-2</v>
      </c>
      <c r="P15" s="12">
        <f t="shared" si="13"/>
        <v>2.3842122945628708E-2</v>
      </c>
      <c r="Q15" s="12">
        <f t="shared" si="14"/>
        <v>2.4507132203079651E-2</v>
      </c>
      <c r="R15" s="12">
        <f t="shared" si="14"/>
        <v>2.1555121197402993E-2</v>
      </c>
      <c r="T15" s="41">
        <v>37897.680745532045</v>
      </c>
      <c r="U15" s="41">
        <v>16853.527352472662</v>
      </c>
      <c r="V15" s="41">
        <v>20935.105849732416</v>
      </c>
      <c r="W15" s="41">
        <v>37143.345876934429</v>
      </c>
      <c r="X15" s="41">
        <v>26108.084359099488</v>
      </c>
      <c r="Y15" s="41">
        <v>35933.111772053911</v>
      </c>
      <c r="Z15" s="41">
        <v>11431.895816668237</v>
      </c>
      <c r="AA15" s="41">
        <v>11241.048142001406</v>
      </c>
      <c r="AB15" s="41">
        <v>26372.567362096874</v>
      </c>
      <c r="AC15" s="41">
        <v>35269.271946340792</v>
      </c>
      <c r="AD15" s="41">
        <v>5536610.2994833346</v>
      </c>
      <c r="AE15" s="41">
        <v>14216.695691919511</v>
      </c>
      <c r="AF15" s="41">
        <v>75606.693641296326</v>
      </c>
      <c r="AG15" s="41">
        <v>28423.619611938142</v>
      </c>
    </row>
    <row r="16" spans="1:35" x14ac:dyDescent="0.25">
      <c r="D16" s="7">
        <v>29</v>
      </c>
      <c r="E16" s="12">
        <f t="shared" si="2"/>
        <v>1.9685721381650367E-2</v>
      </c>
      <c r="F16" s="12">
        <f t="shared" si="3"/>
        <v>3.6892223710243588E-2</v>
      </c>
      <c r="G16" s="12">
        <f t="shared" si="4"/>
        <v>2.3594201566617512E-2</v>
      </c>
      <c r="H16" s="12">
        <f t="shared" si="5"/>
        <v>3.0733620662299677E-2</v>
      </c>
      <c r="I16" s="12">
        <f t="shared" si="6"/>
        <v>1.7919432395386625E-2</v>
      </c>
      <c r="J16" s="12">
        <f t="shared" si="7"/>
        <v>3.5054165886672317E-2</v>
      </c>
      <c r="K16" s="12">
        <f t="shared" si="8"/>
        <v>3.0555443149157258E-2</v>
      </c>
      <c r="L16" s="12">
        <f t="shared" si="9"/>
        <v>1.5040905873393573E-2</v>
      </c>
      <c r="M16" s="12">
        <f t="shared" si="10"/>
        <v>3.6150211827795431E-2</v>
      </c>
      <c r="N16" s="12">
        <f t="shared" si="11"/>
        <v>2.917545055767512E-2</v>
      </c>
      <c r="O16" s="12">
        <f t="shared" si="12"/>
        <v>2.1219708525888503E-2</v>
      </c>
      <c r="P16" s="12">
        <f t="shared" si="13"/>
        <v>2.3842122945628708E-2</v>
      </c>
      <c r="Q16" s="12">
        <f t="shared" si="14"/>
        <v>2.4507132203079651E-2</v>
      </c>
      <c r="R16" s="12">
        <f t="shared" si="14"/>
        <v>2.1555121197402993E-2</v>
      </c>
      <c r="T16" s="41">
        <v>38643.723929699321</v>
      </c>
      <c r="U16" s="41">
        <v>17475.291453866794</v>
      </c>
      <c r="V16" s="41">
        <v>21429.052956969477</v>
      </c>
      <c r="W16" s="41">
        <v>38284.895379244721</v>
      </c>
      <c r="X16" s="41">
        <v>26575.926411745422</v>
      </c>
      <c r="Y16" s="41">
        <v>37192.717032935827</v>
      </c>
      <c r="Z16" s="41">
        <v>11781.202459381531</v>
      </c>
      <c r="AA16" s="41">
        <v>11410.123689023534</v>
      </c>
      <c r="AB16" s="41">
        <v>27325.941258679479</v>
      </c>
      <c r="AC16" s="41">
        <v>36298.268846216459</v>
      </c>
      <c r="AD16" s="41">
        <v>5654095.5562598035</v>
      </c>
      <c r="AE16" s="41">
        <v>14555.651898486845</v>
      </c>
      <c r="AF16" s="41">
        <v>77459.596877801319</v>
      </c>
      <c r="AG16" s="41">
        <v>29036.29417754235</v>
      </c>
    </row>
    <row r="17" spans="4:33" x14ac:dyDescent="0.25">
      <c r="D17" s="7">
        <v>30</v>
      </c>
      <c r="E17" s="12">
        <f t="shared" si="2"/>
        <v>1.9685721381650367E-2</v>
      </c>
      <c r="F17" s="12">
        <f t="shared" si="3"/>
        <v>3.6892223710243588E-2</v>
      </c>
      <c r="G17" s="12">
        <f t="shared" si="4"/>
        <v>2.3594201566617512E-2</v>
      </c>
      <c r="H17" s="12">
        <f t="shared" si="5"/>
        <v>3.0733620662299677E-2</v>
      </c>
      <c r="I17" s="12">
        <f t="shared" si="6"/>
        <v>1.7919432395386625E-2</v>
      </c>
      <c r="J17" s="12">
        <f t="shared" si="7"/>
        <v>3.5054165886672317E-2</v>
      </c>
      <c r="K17" s="12">
        <f t="shared" si="8"/>
        <v>3.0555443149157258E-2</v>
      </c>
      <c r="L17" s="12">
        <f t="shared" si="9"/>
        <v>1.5040905873393573E-2</v>
      </c>
      <c r="M17" s="12">
        <f t="shared" si="10"/>
        <v>3.6150211827795431E-2</v>
      </c>
      <c r="N17" s="12">
        <f t="shared" si="11"/>
        <v>2.917545055767512E-2</v>
      </c>
      <c r="O17" s="12">
        <f t="shared" si="12"/>
        <v>2.1219708525888503E-2</v>
      </c>
      <c r="P17" s="12">
        <f t="shared" si="13"/>
        <v>2.3842122945628708E-2</v>
      </c>
      <c r="Q17" s="12">
        <f t="shared" si="14"/>
        <v>2.4507132203079651E-2</v>
      </c>
      <c r="R17" s="12">
        <f t="shared" si="14"/>
        <v>2.1555121197402993E-2</v>
      </c>
      <c r="T17" s="41">
        <v>39404.453512128799</v>
      </c>
      <c r="U17" s="41">
        <v>18119.993815584556</v>
      </c>
      <c r="V17" s="41">
        <v>21934.654351817935</v>
      </c>
      <c r="W17" s="41">
        <v>39461.528830926261</v>
      </c>
      <c r="X17" s="41">
        <v>27052.151928425465</v>
      </c>
      <c r="Y17" s="41">
        <v>38496.47670558442</v>
      </c>
      <c r="Z17" s="41">
        <v>12141.182321357875</v>
      </c>
      <c r="AA17" s="41">
        <v>11581.742285433915</v>
      </c>
      <c r="AB17" s="41">
        <v>28313.779823574638</v>
      </c>
      <c r="AC17" s="41">
        <v>37357.287194268443</v>
      </c>
      <c r="AD17" s="41">
        <v>5774073.8159411578</v>
      </c>
      <c r="AE17" s="41">
        <v>14902.689540604342</v>
      </c>
      <c r="AF17" s="41">
        <v>79357.909458882859</v>
      </c>
      <c r="AG17" s="41">
        <v>29662.175017662721</v>
      </c>
    </row>
    <row r="18" spans="4:33" x14ac:dyDescent="0.25">
      <c r="D18" s="7">
        <v>31</v>
      </c>
      <c r="E18" s="12">
        <f t="shared" si="2"/>
        <v>1.9685721381650367E-2</v>
      </c>
      <c r="F18" s="12">
        <f t="shared" si="3"/>
        <v>3.6892223710243588E-2</v>
      </c>
      <c r="G18" s="12">
        <f t="shared" si="4"/>
        <v>2.3594201566617512E-2</v>
      </c>
      <c r="H18" s="12">
        <f t="shared" si="5"/>
        <v>3.0733620662299677E-2</v>
      </c>
      <c r="I18" s="12">
        <f t="shared" si="6"/>
        <v>1.7919432395386625E-2</v>
      </c>
      <c r="J18" s="12">
        <f t="shared" si="7"/>
        <v>3.5054165886672317E-2</v>
      </c>
      <c r="K18" s="12">
        <f t="shared" si="8"/>
        <v>3.0555443149157258E-2</v>
      </c>
      <c r="L18" s="12">
        <f t="shared" si="9"/>
        <v>1.5040905873393573E-2</v>
      </c>
      <c r="M18" s="12">
        <f t="shared" si="10"/>
        <v>3.6150211827795431E-2</v>
      </c>
      <c r="N18" s="12">
        <f t="shared" si="11"/>
        <v>2.917545055767512E-2</v>
      </c>
      <c r="O18" s="12">
        <f t="shared" si="12"/>
        <v>2.1219708525888503E-2</v>
      </c>
      <c r="P18" s="12">
        <f t="shared" si="13"/>
        <v>2.3842122945628708E-2</v>
      </c>
      <c r="Q18" s="12">
        <f t="shared" si="14"/>
        <v>2.4507132203079651E-2</v>
      </c>
      <c r="R18" s="12">
        <f t="shared" si="14"/>
        <v>2.1555121197402993E-2</v>
      </c>
      <c r="T18" s="41">
        <v>40180.158605164761</v>
      </c>
      <c r="U18" s="41">
        <v>18788.480681057332</v>
      </c>
      <c r="V18" s="41">
        <v>22452.185007888813</v>
      </c>
      <c r="W18" s="41">
        <v>40674.324488770348</v>
      </c>
      <c r="X18" s="41">
        <v>27536.911136056613</v>
      </c>
      <c r="Y18" s="41">
        <v>39845.938586074393</v>
      </c>
      <c r="Z18" s="41">
        <v>12512.161527541679</v>
      </c>
      <c r="AA18" s="41">
        <v>11755.942180999029</v>
      </c>
      <c r="AB18" s="41">
        <v>29337.328961842421</v>
      </c>
      <c r="AC18" s="41">
        <v>38447.202879773693</v>
      </c>
      <c r="AD18" s="41">
        <v>5896597.9793223944</v>
      </c>
      <c r="AE18" s="41">
        <v>15258.001296851966</v>
      </c>
      <c r="AF18" s="41">
        <v>81302.744237351726</v>
      </c>
      <c r="AG18" s="41">
        <v>30301.54679514702</v>
      </c>
    </row>
    <row r="19" spans="4:33" x14ac:dyDescent="0.25">
      <c r="D19" s="7">
        <v>32</v>
      </c>
      <c r="E19" s="12">
        <f t="shared" si="2"/>
        <v>1.9685721381650367E-2</v>
      </c>
      <c r="F19" s="12">
        <f t="shared" si="3"/>
        <v>3.6892223710243588E-2</v>
      </c>
      <c r="G19" s="12">
        <f t="shared" si="4"/>
        <v>2.3594201566617512E-2</v>
      </c>
      <c r="H19" s="12">
        <f t="shared" si="5"/>
        <v>3.0733620662299677E-2</v>
      </c>
      <c r="I19" s="12">
        <f t="shared" si="6"/>
        <v>1.7919432395386625E-2</v>
      </c>
      <c r="J19" s="12">
        <f t="shared" si="7"/>
        <v>3.5054165886672317E-2</v>
      </c>
      <c r="K19" s="12">
        <f t="shared" si="8"/>
        <v>3.0555443149157258E-2</v>
      </c>
      <c r="L19" s="12">
        <f t="shared" si="9"/>
        <v>1.5040905873393573E-2</v>
      </c>
      <c r="M19" s="12">
        <f t="shared" si="10"/>
        <v>3.6150211827795431E-2</v>
      </c>
      <c r="N19" s="12">
        <f t="shared" si="11"/>
        <v>2.917545055767512E-2</v>
      </c>
      <c r="O19" s="12">
        <f t="shared" si="12"/>
        <v>2.1219708525888503E-2</v>
      </c>
      <c r="P19" s="12">
        <f t="shared" si="13"/>
        <v>2.3842122945628708E-2</v>
      </c>
      <c r="Q19" s="12">
        <f t="shared" si="14"/>
        <v>2.4507132203079651E-2</v>
      </c>
      <c r="R19" s="12">
        <f t="shared" si="14"/>
        <v>2.1555121197402993E-2</v>
      </c>
      <c r="T19" s="41">
        <v>40971.134012536553</v>
      </c>
      <c r="U19" s="41">
        <v>19481.629513518488</v>
      </c>
      <c r="V19" s="41">
        <v>22981.926386575928</v>
      </c>
      <c r="W19" s="41">
        <v>41924.393748303504</v>
      </c>
      <c r="X19" s="41">
        <v>28030.35695353695</v>
      </c>
      <c r="Y19" s="41">
        <v>41242.704727180804</v>
      </c>
      <c r="Z19" s="41">
        <v>12894.476167769551</v>
      </c>
      <c r="AA19" s="41">
        <v>11932.762200796493</v>
      </c>
      <c r="AB19" s="41">
        <v>30397.879618274743</v>
      </c>
      <c r="AC19" s="41">
        <v>39568.917346473434</v>
      </c>
      <c r="AD19" s="41">
        <v>6021722.0697379587</v>
      </c>
      <c r="AE19" s="41">
        <v>15621.784439676072</v>
      </c>
      <c r="AF19" s="41">
        <v>83295.241338849679</v>
      </c>
      <c r="AG19" s="41">
        <v>30954.700308785192</v>
      </c>
    </row>
    <row r="20" spans="4:33" x14ac:dyDescent="0.25">
      <c r="D20" s="7">
        <v>33</v>
      </c>
      <c r="E20" s="12">
        <f t="shared" si="2"/>
        <v>1.9685721381650367E-2</v>
      </c>
      <c r="F20" s="12">
        <f t="shared" si="3"/>
        <v>3.6892223710243588E-2</v>
      </c>
      <c r="G20" s="12">
        <f t="shared" si="4"/>
        <v>2.3594201566617512E-2</v>
      </c>
      <c r="H20" s="12">
        <f t="shared" si="5"/>
        <v>3.0733620662299677E-2</v>
      </c>
      <c r="I20" s="12">
        <f t="shared" si="6"/>
        <v>1.7919432395386625E-2</v>
      </c>
      <c r="J20" s="12">
        <f t="shared" si="7"/>
        <v>3.5054165886672317E-2</v>
      </c>
      <c r="K20" s="12">
        <f t="shared" si="8"/>
        <v>3.0555443149157258E-2</v>
      </c>
      <c r="L20" s="12">
        <f t="shared" si="9"/>
        <v>1.5040905873393573E-2</v>
      </c>
      <c r="M20" s="12">
        <f t="shared" si="10"/>
        <v>3.6150211827795431E-2</v>
      </c>
      <c r="N20" s="12">
        <f t="shared" si="11"/>
        <v>2.917545055767512E-2</v>
      </c>
      <c r="O20" s="12">
        <f t="shared" si="12"/>
        <v>2.1219708525888503E-2</v>
      </c>
      <c r="P20" s="12">
        <f t="shared" si="13"/>
        <v>2.3842122945628708E-2</v>
      </c>
      <c r="Q20" s="12">
        <f t="shared" si="14"/>
        <v>2.4507132203079651E-2</v>
      </c>
      <c r="R20" s="12">
        <f t="shared" si="14"/>
        <v>2.1555121197402993E-2</v>
      </c>
      <c r="T20" s="41">
        <v>41777.680341397609</v>
      </c>
      <c r="U20" s="41">
        <v>20200.350147771296</v>
      </c>
      <c r="V20" s="41">
        <v>23524.166590129964</v>
      </c>
      <c r="W20" s="41">
        <v>43212.88216226075</v>
      </c>
      <c r="X20" s="41">
        <v>28532.645039984411</v>
      </c>
      <c r="Y20" s="41">
        <v>42688.433340302443</v>
      </c>
      <c r="Z20" s="41">
        <v>13288.472601251997</v>
      </c>
      <c r="AA20" s="41">
        <v>12112.241753868262</v>
      </c>
      <c r="AB20" s="41">
        <v>31496.7694055912</v>
      </c>
      <c r="AC20" s="41">
        <v>40723.358338136204</v>
      </c>
      <c r="AD20" s="41">
        <v>6149501.2568817083</v>
      </c>
      <c r="AE20" s="41">
        <v>15994.240944916939</v>
      </c>
      <c r="AF20" s="41">
        <v>85336.568830228294</v>
      </c>
      <c r="AG20" s="41">
        <v>31621.932625570345</v>
      </c>
    </row>
    <row r="21" spans="4:33" x14ac:dyDescent="0.25">
      <c r="D21" s="7">
        <v>34</v>
      </c>
      <c r="E21" s="12">
        <f t="shared" si="2"/>
        <v>1.9685721381649923E-2</v>
      </c>
      <c r="F21" s="12">
        <f t="shared" si="3"/>
        <v>3.6892223710243144E-2</v>
      </c>
      <c r="G21" s="12">
        <f t="shared" si="4"/>
        <v>2.3594201566618178E-2</v>
      </c>
      <c r="H21" s="12">
        <f t="shared" si="5"/>
        <v>3.0733620662299899E-2</v>
      </c>
      <c r="I21" s="12">
        <f t="shared" si="6"/>
        <v>1.7919432395387513E-2</v>
      </c>
      <c r="J21" s="12">
        <f t="shared" si="7"/>
        <v>3.5054165886672095E-2</v>
      </c>
      <c r="K21" s="12">
        <f t="shared" si="8"/>
        <v>3.055544314915748E-2</v>
      </c>
      <c r="L21" s="12">
        <f t="shared" si="9"/>
        <v>1.5040905873394683E-2</v>
      </c>
      <c r="M21" s="12">
        <f t="shared" si="10"/>
        <v>3.6150211827794321E-2</v>
      </c>
      <c r="N21" s="12">
        <f t="shared" si="11"/>
        <v>2.9175450557675342E-2</v>
      </c>
      <c r="O21" s="12">
        <f t="shared" si="12"/>
        <v>2.1219708525887393E-2</v>
      </c>
      <c r="P21" s="12">
        <f t="shared" si="13"/>
        <v>2.3842122945629152E-2</v>
      </c>
      <c r="Q21" s="12">
        <f t="shared" si="14"/>
        <v>2.4507132203078763E-2</v>
      </c>
      <c r="R21" s="12">
        <f t="shared" si="14"/>
        <v>2.1555121197402993E-2</v>
      </c>
      <c r="T21" s="41">
        <v>42600.104116569993</v>
      </c>
      <c r="U21" s="41">
        <v>20945.585984448117</v>
      </c>
      <c r="V21" s="41">
        <v>24079.200518344194</v>
      </c>
      <c r="W21" s="41">
        <v>44540.970490360334</v>
      </c>
      <c r="X21" s="41">
        <v>29043.933843839997</v>
      </c>
      <c r="Y21" s="41">
        <v>44184.840764055552</v>
      </c>
      <c r="Z21" s="41">
        <v>13694.50777035869</v>
      </c>
      <c r="AA21" s="41">
        <v>12294.420842003996</v>
      </c>
      <c r="AB21" s="41">
        <v>32635.384291494516</v>
      </c>
      <c r="AC21" s="41">
        <v>41911.480665872994</v>
      </c>
      <c r="AD21" s="41">
        <v>6279991.8811323168</v>
      </c>
      <c r="AE21" s="41">
        <v>16375.577603947664</v>
      </c>
      <c r="AF21" s="41">
        <v>87427.923404307832</v>
      </c>
      <c r="AG21" s="41">
        <v>32303.547215810628</v>
      </c>
    </row>
    <row r="22" spans="4:33" x14ac:dyDescent="0.25">
      <c r="D22" s="7">
        <v>35</v>
      </c>
      <c r="E22" s="12">
        <f t="shared" si="2"/>
        <v>8.0126693456532561E-3</v>
      </c>
      <c r="F22" s="12">
        <f t="shared" si="3"/>
        <v>2.0106460119156067E-2</v>
      </c>
      <c r="G22" s="12">
        <f t="shared" si="4"/>
        <v>8.8625024828965504E-3</v>
      </c>
      <c r="H22" s="12">
        <f t="shared" si="5"/>
        <v>1.4515937447949101E-2</v>
      </c>
      <c r="I22" s="12">
        <f t="shared" si="6"/>
        <v>7.2318464287686179E-3</v>
      </c>
      <c r="J22" s="12">
        <f t="shared" si="7"/>
        <v>1.4150474304925442E-2</v>
      </c>
      <c r="K22" s="12">
        <f t="shared" si="8"/>
        <v>6.4809667963368067E-3</v>
      </c>
      <c r="L22" s="12">
        <f t="shared" si="9"/>
        <v>0</v>
      </c>
      <c r="M22" s="12">
        <f t="shared" si="10"/>
        <v>4.938347348844907E-3</v>
      </c>
      <c r="N22" s="12">
        <f t="shared" si="11"/>
        <v>6.8704436129525259E-3</v>
      </c>
      <c r="O22" s="12">
        <f t="shared" si="12"/>
        <v>8.3626384417345712E-3</v>
      </c>
      <c r="P22" s="12">
        <f t="shared" si="13"/>
        <v>1.4370529480769223E-2</v>
      </c>
      <c r="Q22" s="12">
        <f t="shared" si="14"/>
        <v>7.8684224511007539E-3</v>
      </c>
      <c r="R22" s="12">
        <f t="shared" si="14"/>
        <v>6.8241985634085456E-3</v>
      </c>
      <c r="T22" s="41">
        <v>42941.444664946473</v>
      </c>
      <c r="U22" s="41">
        <v>21366.727573716777</v>
      </c>
      <c r="V22" s="41">
        <v>24292.602492724185</v>
      </c>
      <c r="W22" s="41">
        <v>45187.524431869351</v>
      </c>
      <c r="X22" s="41">
        <v>29253.975113085962</v>
      </c>
      <c r="Y22" s="41">
        <v>44810.077217954546</v>
      </c>
      <c r="Z22" s="41">
        <v>13783.261420510562</v>
      </c>
      <c r="AA22" s="41">
        <v>12211.741938142306</v>
      </c>
      <c r="AB22" s="41">
        <v>32796.549154988956</v>
      </c>
      <c r="AC22" s="41">
        <v>42199.431130523226</v>
      </c>
      <c r="AD22" s="41">
        <v>6332509.1826512553</v>
      </c>
      <c r="AE22" s="41">
        <v>16610.90332466982</v>
      </c>
      <c r="AF22" s="41">
        <v>88115.843239675407</v>
      </c>
      <c r="AG22" s="41">
        <v>32523.993036313761</v>
      </c>
    </row>
    <row r="23" spans="4:33" x14ac:dyDescent="0.25">
      <c r="D23" s="7">
        <v>36</v>
      </c>
      <c r="E23" s="12">
        <f t="shared" si="2"/>
        <v>8.0126693456532561E-3</v>
      </c>
      <c r="F23" s="12">
        <f t="shared" si="3"/>
        <v>2.0106460119156067E-2</v>
      </c>
      <c r="G23" s="12">
        <f t="shared" si="4"/>
        <v>8.8625024828965504E-3</v>
      </c>
      <c r="H23" s="12">
        <f t="shared" si="5"/>
        <v>1.4515937447949101E-2</v>
      </c>
      <c r="I23" s="12">
        <f t="shared" si="6"/>
        <v>7.2318464287686179E-3</v>
      </c>
      <c r="J23" s="12">
        <f t="shared" si="7"/>
        <v>1.4150474304925442E-2</v>
      </c>
      <c r="K23" s="12">
        <f t="shared" si="8"/>
        <v>6.4809667963368067E-3</v>
      </c>
      <c r="L23" s="12">
        <f t="shared" si="9"/>
        <v>0</v>
      </c>
      <c r="M23" s="12">
        <f t="shared" si="10"/>
        <v>4.938347348844907E-3</v>
      </c>
      <c r="N23" s="12">
        <f t="shared" si="11"/>
        <v>6.8704436129525259E-3</v>
      </c>
      <c r="O23" s="12">
        <f t="shared" si="12"/>
        <v>8.3626384417345712E-3</v>
      </c>
      <c r="P23" s="12">
        <f t="shared" si="13"/>
        <v>1.4370529480769223E-2</v>
      </c>
      <c r="Q23" s="12">
        <f t="shared" si="14"/>
        <v>7.8684224511007539E-3</v>
      </c>
      <c r="R23" s="12">
        <f t="shared" si="14"/>
        <v>6.8241985634085456E-3</v>
      </c>
      <c r="T23" s="41">
        <v>43285.520262271355</v>
      </c>
      <c r="U23" s="41">
        <v>21796.336829554584</v>
      </c>
      <c r="V23" s="41">
        <v>24507.895742631972</v>
      </c>
      <c r="W23" s="41">
        <v>45843.46370995004</v>
      </c>
      <c r="X23" s="41">
        <v>29465.53536853482</v>
      </c>
      <c r="Y23" s="41">
        <v>45444.161064228938</v>
      </c>
      <c r="Z23" s="41">
        <v>13872.590280122122</v>
      </c>
      <c r="AA23" s="41">
        <v>12129.619042671058</v>
      </c>
      <c r="AB23" s="41">
        <v>32958.509906559761</v>
      </c>
      <c r="AC23" s="41">
        <v>42489.359942604162</v>
      </c>
      <c r="AD23" s="41">
        <v>6385465.667374732</v>
      </c>
      <c r="AE23" s="41">
        <v>16849.610800599195</v>
      </c>
      <c r="AF23" s="41">
        <v>88809.17591892014</v>
      </c>
      <c r="AG23" s="41">
        <v>32745.943222868482</v>
      </c>
    </row>
    <row r="24" spans="4:33" x14ac:dyDescent="0.25">
      <c r="D24" s="7">
        <v>37</v>
      </c>
      <c r="E24" s="12">
        <f t="shared" si="2"/>
        <v>8.0126693456532561E-3</v>
      </c>
      <c r="F24" s="12">
        <f t="shared" si="3"/>
        <v>2.0106460119156067E-2</v>
      </c>
      <c r="G24" s="12">
        <f t="shared" si="4"/>
        <v>8.8625024828965504E-3</v>
      </c>
      <c r="H24" s="12">
        <f t="shared" si="5"/>
        <v>1.4515937447949101E-2</v>
      </c>
      <c r="I24" s="12">
        <f t="shared" si="6"/>
        <v>7.2318464287686179E-3</v>
      </c>
      <c r="J24" s="12">
        <f t="shared" si="7"/>
        <v>1.4150474304925442E-2</v>
      </c>
      <c r="K24" s="12">
        <f t="shared" si="8"/>
        <v>6.4809667963368067E-3</v>
      </c>
      <c r="L24" s="12">
        <f t="shared" si="9"/>
        <v>0</v>
      </c>
      <c r="M24" s="12">
        <f t="shared" si="10"/>
        <v>4.938347348844907E-3</v>
      </c>
      <c r="N24" s="12">
        <f t="shared" si="11"/>
        <v>6.8704436129525259E-3</v>
      </c>
      <c r="O24" s="12">
        <f t="shared" si="12"/>
        <v>8.3626384417345712E-3</v>
      </c>
      <c r="P24" s="12">
        <f t="shared" si="13"/>
        <v>1.4370529480769223E-2</v>
      </c>
      <c r="Q24" s="12">
        <f t="shared" si="14"/>
        <v>7.8684224511007539E-3</v>
      </c>
      <c r="R24" s="12">
        <f t="shared" si="14"/>
        <v>6.8241985634085456E-3</v>
      </c>
      <c r="T24" s="41">
        <v>43632.352823587513</v>
      </c>
      <c r="U24" s="41">
        <v>22234.584006761717</v>
      </c>
      <c r="V24" s="41">
        <v>24725.09702950162</v>
      </c>
      <c r="W24" s="41">
        <v>46508.924561560998</v>
      </c>
      <c r="X24" s="41">
        <v>29678.625595261514</v>
      </c>
      <c r="Y24" s="41">
        <v>46087.2174976772</v>
      </c>
      <c r="Z24" s="41">
        <v>13962.498077106779</v>
      </c>
      <c r="AA24" s="41">
        <v>12048.048416482501</v>
      </c>
      <c r="AB24" s="41">
        <v>33121.270476578698</v>
      </c>
      <c r="AC24" s="41">
        <v>42781.280694240268</v>
      </c>
      <c r="AD24" s="41">
        <v>6438865.0080330959</v>
      </c>
      <c r="AE24" s="41">
        <v>17091.748629348695</v>
      </c>
      <c r="AF24" s="41">
        <v>89507.964032584321</v>
      </c>
      <c r="AG24" s="41">
        <v>32969.40804156744</v>
      </c>
    </row>
    <row r="25" spans="4:33" x14ac:dyDescent="0.25">
      <c r="D25" s="7">
        <v>38</v>
      </c>
      <c r="E25" s="12">
        <f t="shared" si="2"/>
        <v>8.0126693456532561E-3</v>
      </c>
      <c r="F25" s="12">
        <f t="shared" si="3"/>
        <v>2.0106460119156067E-2</v>
      </c>
      <c r="G25" s="12">
        <f t="shared" si="4"/>
        <v>8.8625024828965504E-3</v>
      </c>
      <c r="H25" s="12">
        <f t="shared" si="5"/>
        <v>1.4515937447949101E-2</v>
      </c>
      <c r="I25" s="12">
        <f t="shared" si="6"/>
        <v>7.2318464287686179E-3</v>
      </c>
      <c r="J25" s="12">
        <f t="shared" si="7"/>
        <v>1.4150474304925442E-2</v>
      </c>
      <c r="K25" s="12">
        <f t="shared" si="8"/>
        <v>6.4809667963368067E-3</v>
      </c>
      <c r="L25" s="12">
        <f t="shared" si="9"/>
        <v>0</v>
      </c>
      <c r="M25" s="12">
        <f t="shared" si="10"/>
        <v>4.938347348844907E-3</v>
      </c>
      <c r="N25" s="12">
        <f t="shared" si="11"/>
        <v>6.8704436129525259E-3</v>
      </c>
      <c r="O25" s="12">
        <f t="shared" si="12"/>
        <v>8.3626384417345712E-3</v>
      </c>
      <c r="P25" s="12">
        <f t="shared" si="13"/>
        <v>1.4370529480769223E-2</v>
      </c>
      <c r="Q25" s="12">
        <f t="shared" si="14"/>
        <v>7.8684224511007539E-3</v>
      </c>
      <c r="R25" s="12">
        <f t="shared" si="14"/>
        <v>6.8241985634085456E-3</v>
      </c>
      <c r="T25" s="41">
        <v>43981.964439535797</v>
      </c>
      <c r="U25" s="41">
        <v>22681.642783359697</v>
      </c>
      <c r="V25" s="41">
        <v>24944.223263315434</v>
      </c>
      <c r="W25" s="41">
        <v>47184.045201268003</v>
      </c>
      <c r="X25" s="41">
        <v>29893.256857783366</v>
      </c>
      <c r="Y25" s="41">
        <v>46739.373484663593</v>
      </c>
      <c r="Z25" s="41">
        <v>14052.988563538423</v>
      </c>
      <c r="AA25" s="41">
        <v>11967.026345614056</v>
      </c>
      <c r="AB25" s="41">
        <v>33284.834814827089</v>
      </c>
      <c r="AC25" s="41">
        <v>43075.207070939941</v>
      </c>
      <c r="AD25" s="41">
        <v>6492710.9080704134</v>
      </c>
      <c r="AE25" s="41">
        <v>17337.366106904647</v>
      </c>
      <c r="AF25" s="41">
        <v>90212.250506330631</v>
      </c>
      <c r="AG25" s="41">
        <v>33194.397828561137</v>
      </c>
    </row>
    <row r="26" spans="4:33" x14ac:dyDescent="0.25">
      <c r="D26" s="7">
        <v>39</v>
      </c>
      <c r="E26" s="12">
        <f t="shared" si="2"/>
        <v>8.0126693456532561E-3</v>
      </c>
      <c r="F26" s="12">
        <f t="shared" si="3"/>
        <v>2.0106460119156067E-2</v>
      </c>
      <c r="G26" s="12">
        <f t="shared" si="4"/>
        <v>8.8625024828965504E-3</v>
      </c>
      <c r="H26" s="12">
        <f t="shared" si="5"/>
        <v>1.4515937447949101E-2</v>
      </c>
      <c r="I26" s="12">
        <f t="shared" si="6"/>
        <v>7.2318464287686179E-3</v>
      </c>
      <c r="J26" s="12">
        <f t="shared" si="7"/>
        <v>1.4150474304925442E-2</v>
      </c>
      <c r="K26" s="12">
        <f t="shared" si="8"/>
        <v>6.4809667963368067E-3</v>
      </c>
      <c r="L26" s="12">
        <f t="shared" si="9"/>
        <v>0</v>
      </c>
      <c r="M26" s="12">
        <f t="shared" si="10"/>
        <v>4.938347348844907E-3</v>
      </c>
      <c r="N26" s="12">
        <f t="shared" si="11"/>
        <v>6.8704436129525259E-3</v>
      </c>
      <c r="O26" s="12">
        <f t="shared" si="12"/>
        <v>8.3626384417345712E-3</v>
      </c>
      <c r="P26" s="12">
        <f t="shared" si="13"/>
        <v>1.4370529480769223E-2</v>
      </c>
      <c r="Q26" s="12">
        <f t="shared" si="14"/>
        <v>7.8684224511007539E-3</v>
      </c>
      <c r="R26" s="12">
        <f t="shared" si="14"/>
        <v>6.8241985634085456E-3</v>
      </c>
      <c r="T26" s="41">
        <v>44334.377377762081</v>
      </c>
      <c r="U26" s="41">
        <v>23137.690329420264</v>
      </c>
      <c r="V26" s="41">
        <v>25165.291503920493</v>
      </c>
      <c r="W26" s="41">
        <v>47868.965849950815</v>
      </c>
      <c r="X26" s="41">
        <v>30109.440300634589</v>
      </c>
      <c r="Y26" s="41">
        <v>47400.757788186638</v>
      </c>
      <c r="Z26" s="41">
        <v>14144.065515808017</v>
      </c>
      <c r="AA26" s="41">
        <v>11886.549141079218</v>
      </c>
      <c r="AB26" s="41">
        <v>33449.206890591631</v>
      </c>
      <c r="AC26" s="41">
        <v>43371.152852237086</v>
      </c>
      <c r="AD26" s="41">
        <v>6547007.1019013124</v>
      </c>
      <c r="AE26" s="41">
        <v>17586.51323766281</v>
      </c>
      <c r="AF26" s="41">
        <v>90922.078603578964</v>
      </c>
      <c r="AG26" s="41">
        <v>33420.922990536019</v>
      </c>
    </row>
    <row r="27" spans="4:33" x14ac:dyDescent="0.25">
      <c r="D27" s="7">
        <v>40</v>
      </c>
      <c r="E27" s="12">
        <f t="shared" si="2"/>
        <v>8.0126693456532561E-3</v>
      </c>
      <c r="F27" s="12">
        <f t="shared" si="3"/>
        <v>2.0106460119156067E-2</v>
      </c>
      <c r="G27" s="12">
        <f t="shared" si="4"/>
        <v>8.8625024828965504E-3</v>
      </c>
      <c r="H27" s="12">
        <f t="shared" si="5"/>
        <v>1.4515937447949101E-2</v>
      </c>
      <c r="I27" s="12">
        <f t="shared" si="6"/>
        <v>7.2318464287686179E-3</v>
      </c>
      <c r="J27" s="12">
        <f t="shared" si="7"/>
        <v>1.4150474304925442E-2</v>
      </c>
      <c r="K27" s="12">
        <f t="shared" si="8"/>
        <v>6.4809667963368067E-3</v>
      </c>
      <c r="L27" s="12">
        <f t="shared" si="9"/>
        <v>0</v>
      </c>
      <c r="M27" s="12">
        <f t="shared" si="10"/>
        <v>4.938347348844907E-3</v>
      </c>
      <c r="N27" s="12">
        <f t="shared" si="11"/>
        <v>6.8704436129525259E-3</v>
      </c>
      <c r="O27" s="12">
        <f t="shared" si="12"/>
        <v>8.3626384417345712E-3</v>
      </c>
      <c r="P27" s="12">
        <f t="shared" si="13"/>
        <v>1.4370529480769223E-2</v>
      </c>
      <c r="Q27" s="12">
        <f t="shared" si="14"/>
        <v>7.8684224511007539E-3</v>
      </c>
      <c r="R27" s="12">
        <f t="shared" si="14"/>
        <v>6.8241985634085456E-3</v>
      </c>
      <c r="T27" s="41">
        <v>44689.614084335495</v>
      </c>
      <c r="U27" s="41">
        <v>23602.907377278134</v>
      </c>
      <c r="V27" s="41">
        <v>25388.318962356803</v>
      </c>
      <c r="W27" s="41">
        <v>48563.828763926715</v>
      </c>
      <c r="X27" s="41">
        <v>30327.187148944955</v>
      </c>
      <c r="Y27" s="41">
        <v>48071.500993302368</v>
      </c>
      <c r="Z27" s="41">
        <v>14235.732734781181</v>
      </c>
      <c r="AA27" s="41">
        <v>11806.613138699595</v>
      </c>
      <c r="AB27" s="41">
        <v>33614.390692760746</v>
      </c>
      <c r="AC27" s="41">
        <v>43669.131912337129</v>
      </c>
      <c r="AD27" s="41">
        <v>6601757.3551699817</v>
      </c>
      <c r="AE27" s="41">
        <v>17839.240744608582</v>
      </c>
      <c r="AF27" s="41">
        <v>91637.49192816412</v>
      </c>
      <c r="AG27" s="41">
        <v>33648.994005195826</v>
      </c>
    </row>
    <row r="28" spans="4:33" x14ac:dyDescent="0.25">
      <c r="D28" s="7">
        <v>41</v>
      </c>
      <c r="E28" s="12">
        <f t="shared" si="2"/>
        <v>8.0126693456532561E-3</v>
      </c>
      <c r="F28" s="12">
        <f t="shared" si="3"/>
        <v>2.0106460119156067E-2</v>
      </c>
      <c r="G28" s="12">
        <f t="shared" si="4"/>
        <v>8.8625024828965504E-3</v>
      </c>
      <c r="H28" s="12">
        <f t="shared" si="5"/>
        <v>1.4515937447949101E-2</v>
      </c>
      <c r="I28" s="12">
        <f t="shared" si="6"/>
        <v>7.2318464287686179E-3</v>
      </c>
      <c r="J28" s="12">
        <f t="shared" si="7"/>
        <v>1.4150474304925442E-2</v>
      </c>
      <c r="K28" s="12">
        <f t="shared" si="8"/>
        <v>6.4809667963368067E-3</v>
      </c>
      <c r="L28" s="12">
        <f t="shared" si="9"/>
        <v>0</v>
      </c>
      <c r="M28" s="12">
        <f t="shared" si="10"/>
        <v>4.938347348844907E-3</v>
      </c>
      <c r="N28" s="12">
        <f t="shared" si="11"/>
        <v>6.8704436129525259E-3</v>
      </c>
      <c r="O28" s="12">
        <f t="shared" si="12"/>
        <v>8.3626384417345712E-3</v>
      </c>
      <c r="P28" s="12">
        <f t="shared" si="13"/>
        <v>1.4370529480769223E-2</v>
      </c>
      <c r="Q28" s="12">
        <f t="shared" si="14"/>
        <v>7.8684224511007539E-3</v>
      </c>
      <c r="R28" s="12">
        <f t="shared" si="14"/>
        <v>6.8241985634085456E-3</v>
      </c>
      <c r="T28" s="41">
        <v>45047.697185178127</v>
      </c>
      <c r="U28" s="41">
        <v>24077.478293155513</v>
      </c>
      <c r="V28" s="41">
        <v>25613.323002197259</v>
      </c>
      <c r="W28" s="41">
        <v>49268.778264496788</v>
      </c>
      <c r="X28" s="41">
        <v>30546.508709022652</v>
      </c>
      <c r="Y28" s="41">
        <v>48751.735532907289</v>
      </c>
      <c r="Z28" s="41">
        <v>14327.994045956822</v>
      </c>
      <c r="AA28" s="41">
        <v>11727.214698938069</v>
      </c>
      <c r="AB28" s="41">
        <v>33780.390229921381</v>
      </c>
      <c r="AC28" s="41">
        <v>43969.158220767429</v>
      </c>
      <c r="AD28" s="41">
        <v>6656965.4650113303</v>
      </c>
      <c r="AE28" s="41">
        <v>18095.600079643518</v>
      </c>
      <c r="AF28" s="41">
        <v>92358.534427014252</v>
      </c>
      <c r="AG28" s="41">
        <v>33878.621421746226</v>
      </c>
    </row>
    <row r="29" spans="4:33" x14ac:dyDescent="0.25">
      <c r="D29" s="7">
        <v>42</v>
      </c>
      <c r="E29" s="12">
        <f t="shared" si="2"/>
        <v>8.0126693456532561E-3</v>
      </c>
      <c r="F29" s="12">
        <f t="shared" si="3"/>
        <v>2.0106460119156067E-2</v>
      </c>
      <c r="G29" s="12">
        <f t="shared" si="4"/>
        <v>8.8625024828965504E-3</v>
      </c>
      <c r="H29" s="12">
        <f t="shared" si="5"/>
        <v>1.4515937447949101E-2</v>
      </c>
      <c r="I29" s="12">
        <f t="shared" si="6"/>
        <v>7.2318464287686179E-3</v>
      </c>
      <c r="J29" s="12">
        <f t="shared" si="7"/>
        <v>1.4150474304925442E-2</v>
      </c>
      <c r="K29" s="12">
        <f t="shared" si="8"/>
        <v>6.4809667963368067E-3</v>
      </c>
      <c r="L29" s="12">
        <f t="shared" si="9"/>
        <v>0</v>
      </c>
      <c r="M29" s="12">
        <f t="shared" si="10"/>
        <v>4.938347348844907E-3</v>
      </c>
      <c r="N29" s="12">
        <f t="shared" si="11"/>
        <v>6.8704436129525259E-3</v>
      </c>
      <c r="O29" s="12">
        <f t="shared" si="12"/>
        <v>8.3626384417345712E-3</v>
      </c>
      <c r="P29" s="12">
        <f t="shared" si="13"/>
        <v>1.4370529480769223E-2</v>
      </c>
      <c r="Q29" s="12">
        <f t="shared" si="14"/>
        <v>7.8684224511007539E-3</v>
      </c>
      <c r="R29" s="12">
        <f t="shared" si="14"/>
        <v>6.8241985634085456E-3</v>
      </c>
      <c r="T29" s="41">
        <v>45408.649487506074</v>
      </c>
      <c r="U29" s="41">
        <v>24561.59115022669</v>
      </c>
      <c r="V29" s="41">
        <v>25840.321140899465</v>
      </c>
      <c r="W29" s="41">
        <v>49983.960767921097</v>
      </c>
      <c r="X29" s="41">
        <v>30767.416368941347</v>
      </c>
      <c r="Y29" s="41">
        <v>49441.595713886214</v>
      </c>
      <c r="Z29" s="41">
        <v>14420.85329962678</v>
      </c>
      <c r="AA29" s="41">
        <v>11648.350206733096</v>
      </c>
      <c r="AB29" s="41">
        <v>33947.209530456261</v>
      </c>
      <c r="AC29" s="41">
        <v>44271.2458430322</v>
      </c>
      <c r="AD29" s="41">
        <v>6712635.2603143333</v>
      </c>
      <c r="AE29" s="41">
        <v>18355.643434060246</v>
      </c>
      <c r="AF29" s="41">
        <v>93085.250392850532</v>
      </c>
      <c r="AG29" s="41">
        <v>34109.815861382769</v>
      </c>
    </row>
    <row r="30" spans="4:33" x14ac:dyDescent="0.25">
      <c r="D30" s="7">
        <v>43</v>
      </c>
      <c r="E30" s="12">
        <f t="shared" si="2"/>
        <v>8.0126693456532561E-3</v>
      </c>
      <c r="F30" s="12">
        <f t="shared" si="3"/>
        <v>2.0106460119156067E-2</v>
      </c>
      <c r="G30" s="12">
        <f t="shared" si="4"/>
        <v>8.8625024828965504E-3</v>
      </c>
      <c r="H30" s="12">
        <f t="shared" si="5"/>
        <v>1.4515937447949101E-2</v>
      </c>
      <c r="I30" s="12">
        <f t="shared" si="6"/>
        <v>7.2318464287686179E-3</v>
      </c>
      <c r="J30" s="12">
        <f t="shared" si="7"/>
        <v>1.4150474304925442E-2</v>
      </c>
      <c r="K30" s="12">
        <f t="shared" si="8"/>
        <v>6.4809667963368067E-3</v>
      </c>
      <c r="L30" s="12">
        <f t="shared" si="9"/>
        <v>0</v>
      </c>
      <c r="M30" s="12">
        <f t="shared" si="10"/>
        <v>4.938347348844907E-3</v>
      </c>
      <c r="N30" s="12">
        <f t="shared" si="11"/>
        <v>6.8704436129525259E-3</v>
      </c>
      <c r="O30" s="12">
        <f t="shared" si="12"/>
        <v>8.3626384417345712E-3</v>
      </c>
      <c r="P30" s="12">
        <f t="shared" si="13"/>
        <v>1.4370529480769223E-2</v>
      </c>
      <c r="Q30" s="12">
        <f t="shared" si="14"/>
        <v>7.8684224511007539E-3</v>
      </c>
      <c r="R30" s="12">
        <f t="shared" si="14"/>
        <v>6.8241985634085456E-3</v>
      </c>
      <c r="T30" s="41">
        <v>45772.493981282125</v>
      </c>
      <c r="U30" s="41">
        <v>25055.437803151741</v>
      </c>
      <c r="V30" s="41">
        <v>26069.331051169531</v>
      </c>
      <c r="W30" s="41">
        <v>50709.524815828983</v>
      </c>
      <c r="X30" s="41">
        <v>30989.921599131514</v>
      </c>
      <c r="Y30" s="41">
        <v>50141.21774363007</v>
      </c>
      <c r="Z30" s="41">
        <v>14514.314371036506</v>
      </c>
      <c r="AA30" s="41">
        <v>11570.016071334099</v>
      </c>
      <c r="AB30" s="41">
        <v>34114.852642641672</v>
      </c>
      <c r="AC30" s="41">
        <v>44575.408941271911</v>
      </c>
      <c r="AD30" s="41">
        <v>6768770.6019875808</v>
      </c>
      <c r="AE30" s="41">
        <v>18619.423749167898</v>
      </c>
      <c r="AF30" s="41">
        <v>93817.684466907973</v>
      </c>
      <c r="AG30" s="41">
        <v>34342.588017782145</v>
      </c>
    </row>
    <row r="31" spans="4:33" x14ac:dyDescent="0.25">
      <c r="D31" s="7">
        <v>44</v>
      </c>
      <c r="E31" s="12">
        <f t="shared" si="2"/>
        <v>8.0126693456521458E-3</v>
      </c>
      <c r="F31" s="12">
        <f t="shared" si="3"/>
        <v>2.0106460119156511E-2</v>
      </c>
      <c r="G31" s="12">
        <f t="shared" si="4"/>
        <v>8.8625024828972165E-3</v>
      </c>
      <c r="H31" s="12">
        <f t="shared" si="5"/>
        <v>1.4515937447949767E-2</v>
      </c>
      <c r="I31" s="12">
        <f t="shared" si="6"/>
        <v>7.2318464287681739E-3</v>
      </c>
      <c r="J31" s="12">
        <f t="shared" si="7"/>
        <v>1.415047430492633E-2</v>
      </c>
      <c r="K31" s="12">
        <f t="shared" si="8"/>
        <v>6.4809667963365847E-3</v>
      </c>
      <c r="L31" s="12">
        <f t="shared" si="9"/>
        <v>0</v>
      </c>
      <c r="M31" s="12">
        <f t="shared" si="10"/>
        <v>4.9383473488435747E-3</v>
      </c>
      <c r="N31" s="12">
        <f t="shared" si="11"/>
        <v>6.8704436129531921E-3</v>
      </c>
      <c r="O31" s="12">
        <f t="shared" si="12"/>
        <v>8.3626384417345712E-3</v>
      </c>
      <c r="P31" s="12">
        <f t="shared" si="13"/>
        <v>1.4370529480767891E-2</v>
      </c>
      <c r="Q31" s="12">
        <f t="shared" si="14"/>
        <v>7.868422451101198E-3</v>
      </c>
      <c r="R31" s="12">
        <f t="shared" si="14"/>
        <v>6.8241985634085456E-3</v>
      </c>
      <c r="T31" s="41">
        <v>46139.253840679994</v>
      </c>
      <c r="U31" s="41">
        <v>25559.213964108818</v>
      </c>
      <c r="V31" s="41">
        <v>26300.37056233799</v>
      </c>
      <c r="W31" s="41">
        <v>51445.621106070816</v>
      </c>
      <c r="X31" s="41">
        <v>31214.035952975999</v>
      </c>
      <c r="Y31" s="41">
        <v>50850.739756929019</v>
      </c>
      <c r="Z31" s="41">
        <v>14608.381160546785</v>
      </c>
      <c r="AA31" s="41">
        <v>11492.208726137997</v>
      </c>
      <c r="AB31" s="41">
        <v>34283.323634745648</v>
      </c>
      <c r="AC31" s="41">
        <v>44881.661774927248</v>
      </c>
      <c r="AD31" s="41">
        <v>6825375.3832270447</v>
      </c>
      <c r="AE31" s="41">
        <v>18886.994727070225</v>
      </c>
      <c r="AF31" s="41">
        <v>94555.881641677712</v>
      </c>
      <c r="AG31" s="41">
        <v>34576.948657596826</v>
      </c>
    </row>
    <row r="32" spans="4:33" x14ac:dyDescent="0.25">
      <c r="D32" s="7">
        <v>45</v>
      </c>
      <c r="E32" s="12">
        <f t="shared" si="2"/>
        <v>6.4413186518539334E-3</v>
      </c>
      <c r="F32" s="12">
        <f t="shared" si="3"/>
        <v>0</v>
      </c>
      <c r="G32" s="12">
        <f t="shared" si="4"/>
        <v>6.8030660761928541E-3</v>
      </c>
      <c r="H32" s="12">
        <f t="shared" si="5"/>
        <v>0</v>
      </c>
      <c r="I32" s="12">
        <f t="shared" si="6"/>
        <v>7.3476273055710362E-3</v>
      </c>
      <c r="J32" s="12">
        <f t="shared" si="7"/>
        <v>0</v>
      </c>
      <c r="K32" s="12">
        <f t="shared" si="8"/>
        <v>0</v>
      </c>
      <c r="L32" s="12">
        <f t="shared" si="9"/>
        <v>0</v>
      </c>
      <c r="M32" s="12">
        <f t="shared" si="10"/>
        <v>0</v>
      </c>
      <c r="N32" s="12">
        <f t="shared" si="11"/>
        <v>2.6530660760692992E-3</v>
      </c>
      <c r="O32" s="12">
        <f t="shared" si="12"/>
        <v>0</v>
      </c>
      <c r="P32" s="12">
        <f t="shared" si="13"/>
        <v>1.1612490448240642E-2</v>
      </c>
      <c r="Q32" s="12">
        <f t="shared" si="14"/>
        <v>2.4442591716788975E-3</v>
      </c>
      <c r="R32" s="12">
        <f t="shared" si="14"/>
        <v>4.1611043871341291E-3</v>
      </c>
      <c r="T32" s="41">
        <v>46436.451477026589</v>
      </c>
      <c r="U32" s="41">
        <v>25517.578819994418</v>
      </c>
      <c r="V32" s="41">
        <v>26479.293721101934</v>
      </c>
      <c r="W32" s="41">
        <v>51264.658950298057</v>
      </c>
      <c r="X32" s="41">
        <v>31443.385055861163</v>
      </c>
      <c r="Y32" s="41">
        <v>50804.402494563466</v>
      </c>
      <c r="Z32" s="41">
        <v>14575.318491310036</v>
      </c>
      <c r="AA32" s="41">
        <v>11442.350899475327</v>
      </c>
      <c r="AB32" s="41">
        <v>34119.375929145244</v>
      </c>
      <c r="AC32" s="41">
        <v>45000.735789219922</v>
      </c>
      <c r="AD32" s="41">
        <v>6815175.8995008003</v>
      </c>
      <c r="AE32" s="41">
        <v>19106.319772934301</v>
      </c>
      <c r="AF32" s="41">
        <v>94787.000722616562</v>
      </c>
      <c r="AG32" s="41">
        <v>34720.826950349663</v>
      </c>
    </row>
    <row r="33" spans="4:33" x14ac:dyDescent="0.25">
      <c r="D33" s="7">
        <v>46</v>
      </c>
      <c r="E33" s="12">
        <f t="shared" si="2"/>
        <v>6.4413186518539334E-3</v>
      </c>
      <c r="F33" s="12">
        <f t="shared" si="3"/>
        <v>0</v>
      </c>
      <c r="G33" s="12">
        <f t="shared" si="4"/>
        <v>6.8030660761928541E-3</v>
      </c>
      <c r="H33" s="12">
        <f t="shared" si="5"/>
        <v>0</v>
      </c>
      <c r="I33" s="12">
        <f t="shared" si="6"/>
        <v>7.3476273055710362E-3</v>
      </c>
      <c r="J33" s="12">
        <f t="shared" si="7"/>
        <v>0</v>
      </c>
      <c r="K33" s="12">
        <f t="shared" si="8"/>
        <v>0</v>
      </c>
      <c r="L33" s="12">
        <f t="shared" si="9"/>
        <v>0</v>
      </c>
      <c r="M33" s="12">
        <f t="shared" si="10"/>
        <v>0</v>
      </c>
      <c r="N33" s="12">
        <f t="shared" si="11"/>
        <v>2.6530660760692992E-3</v>
      </c>
      <c r="O33" s="12">
        <f t="shared" si="12"/>
        <v>0</v>
      </c>
      <c r="P33" s="12">
        <f t="shared" si="13"/>
        <v>1.1612490448240642E-2</v>
      </c>
      <c r="Q33" s="12">
        <f t="shared" si="14"/>
        <v>2.4442591716788975E-3</v>
      </c>
      <c r="R33" s="12">
        <f t="shared" si="14"/>
        <v>4.1611043871341291E-3</v>
      </c>
      <c r="T33" s="41">
        <v>46735.563458051467</v>
      </c>
      <c r="U33" s="41">
        <v>25476.011498201467</v>
      </c>
      <c r="V33" s="41">
        <v>26659.434105937511</v>
      </c>
      <c r="W33" s="41">
        <v>51084.333336588898</v>
      </c>
      <c r="X33" s="41">
        <v>31674.419330477194</v>
      </c>
      <c r="Y33" s="41">
        <v>50758.107456596095</v>
      </c>
      <c r="Z33" s="41">
        <v>14542.330651726556</v>
      </c>
      <c r="AA33" s="41">
        <v>11392.709376130735</v>
      </c>
      <c r="AB33" s="41">
        <v>33956.212244675866</v>
      </c>
      <c r="AC33" s="41">
        <v>45120.125714740461</v>
      </c>
      <c r="AD33" s="41">
        <v>6804991.657349186</v>
      </c>
      <c r="AE33" s="41">
        <v>19328.191728798531</v>
      </c>
      <c r="AF33" s="41">
        <v>95018.684718488745</v>
      </c>
      <c r="AG33" s="41">
        <v>34865.303935697688</v>
      </c>
    </row>
    <row r="34" spans="4:33" x14ac:dyDescent="0.25">
      <c r="D34" s="7">
        <v>47</v>
      </c>
      <c r="E34" s="12">
        <f t="shared" si="2"/>
        <v>6.4413186518539334E-3</v>
      </c>
      <c r="F34" s="12">
        <f t="shared" si="3"/>
        <v>0</v>
      </c>
      <c r="G34" s="12">
        <f t="shared" si="4"/>
        <v>6.8030660761928541E-3</v>
      </c>
      <c r="H34" s="12">
        <f t="shared" si="5"/>
        <v>0</v>
      </c>
      <c r="I34" s="12">
        <f t="shared" si="6"/>
        <v>7.3476273055710362E-3</v>
      </c>
      <c r="J34" s="12">
        <f t="shared" si="7"/>
        <v>0</v>
      </c>
      <c r="K34" s="12">
        <f t="shared" si="8"/>
        <v>0</v>
      </c>
      <c r="L34" s="12">
        <f t="shared" si="9"/>
        <v>0</v>
      </c>
      <c r="M34" s="12">
        <f t="shared" si="10"/>
        <v>0</v>
      </c>
      <c r="N34" s="12">
        <f t="shared" si="11"/>
        <v>2.6530660760692992E-3</v>
      </c>
      <c r="O34" s="12">
        <f t="shared" si="12"/>
        <v>0</v>
      </c>
      <c r="P34" s="12">
        <f t="shared" si="13"/>
        <v>1.1612490448240642E-2</v>
      </c>
      <c r="Q34" s="12">
        <f t="shared" si="14"/>
        <v>2.4442591716788975E-3</v>
      </c>
      <c r="R34" s="12">
        <f t="shared" si="14"/>
        <v>4.1611043871341291E-3</v>
      </c>
      <c r="T34" s="41">
        <v>47036.602114658715</v>
      </c>
      <c r="U34" s="41">
        <v>25434.511888249566</v>
      </c>
      <c r="V34" s="41">
        <v>26840.799997714112</v>
      </c>
      <c r="W34" s="41">
        <v>50904.642025879606</v>
      </c>
      <c r="X34" s="41">
        <v>31907.151158837914</v>
      </c>
      <c r="Y34" s="41">
        <v>50711.854604550324</v>
      </c>
      <c r="Z34" s="41">
        <v>14509.417472436848</v>
      </c>
      <c r="AA34" s="41">
        <v>11343.283217693375</v>
      </c>
      <c r="AB34" s="41">
        <v>33793.828832037514</v>
      </c>
      <c r="AC34" s="41">
        <v>45239.832389622221</v>
      </c>
      <c r="AD34" s="41">
        <v>6794822.6339959903</v>
      </c>
      <c r="AE34" s="41">
        <v>19552.640170630966</v>
      </c>
      <c r="AF34" s="41">
        <v>95250.93501009277</v>
      </c>
      <c r="AG34" s="41">
        <v>35010.382104863282</v>
      </c>
    </row>
    <row r="35" spans="4:33" x14ac:dyDescent="0.25">
      <c r="D35" s="7">
        <v>48</v>
      </c>
      <c r="E35" s="12">
        <f t="shared" si="2"/>
        <v>6.4413186518539334E-3</v>
      </c>
      <c r="F35" s="12">
        <f t="shared" si="3"/>
        <v>0</v>
      </c>
      <c r="G35" s="12">
        <f t="shared" si="4"/>
        <v>6.8030660761928541E-3</v>
      </c>
      <c r="H35" s="12">
        <f t="shared" si="5"/>
        <v>0</v>
      </c>
      <c r="I35" s="12">
        <f t="shared" si="6"/>
        <v>7.3476273055710362E-3</v>
      </c>
      <c r="J35" s="12">
        <f t="shared" si="7"/>
        <v>0</v>
      </c>
      <c r="K35" s="12">
        <f t="shared" si="8"/>
        <v>0</v>
      </c>
      <c r="L35" s="12">
        <f t="shared" si="9"/>
        <v>0</v>
      </c>
      <c r="M35" s="12">
        <f t="shared" si="10"/>
        <v>0</v>
      </c>
      <c r="N35" s="12">
        <f t="shared" si="11"/>
        <v>2.6530660760692992E-3</v>
      </c>
      <c r="O35" s="12">
        <f t="shared" si="12"/>
        <v>0</v>
      </c>
      <c r="P35" s="12">
        <f t="shared" si="13"/>
        <v>1.1612490448240642E-2</v>
      </c>
      <c r="Q35" s="12">
        <f t="shared" si="14"/>
        <v>2.4442591716788975E-3</v>
      </c>
      <c r="R35" s="12">
        <f t="shared" si="14"/>
        <v>4.1611043871341291E-3</v>
      </c>
      <c r="T35" s="41">
        <v>47339.579857179699</v>
      </c>
      <c r="U35" s="41">
        <v>25393.079879838286</v>
      </c>
      <c r="V35" s="41">
        <v>27023.399733636437</v>
      </c>
      <c r="W35" s="41">
        <v>50725.582786982464</v>
      </c>
      <c r="X35" s="41">
        <v>32141.593013935573</v>
      </c>
      <c r="Y35" s="41">
        <v>50665.643899984621</v>
      </c>
      <c r="Z35" s="41">
        <v>14476.57878446472</v>
      </c>
      <c r="AA35" s="41">
        <v>11294.071489823602</v>
      </c>
      <c r="AB35" s="41">
        <v>33632.22195985986</v>
      </c>
      <c r="AC35" s="41">
        <v>45359.856654222189</v>
      </c>
      <c r="AD35" s="41">
        <v>6784668.8066990376</v>
      </c>
      <c r="AE35" s="41">
        <v>19779.695017850303</v>
      </c>
      <c r="AF35" s="41">
        <v>95483.752981602185</v>
      </c>
      <c r="AG35" s="41">
        <v>35156.063959435072</v>
      </c>
    </row>
    <row r="36" spans="4:33" x14ac:dyDescent="0.25">
      <c r="D36" s="7">
        <v>49</v>
      </c>
      <c r="E36" s="12">
        <f t="shared" si="2"/>
        <v>6.4413186518539334E-3</v>
      </c>
      <c r="F36" s="12">
        <f t="shared" si="3"/>
        <v>0</v>
      </c>
      <c r="G36" s="12">
        <f t="shared" si="4"/>
        <v>6.8030660761928541E-3</v>
      </c>
      <c r="H36" s="12">
        <f t="shared" si="5"/>
        <v>0</v>
      </c>
      <c r="I36" s="12">
        <f t="shared" si="6"/>
        <v>7.3476273055710362E-3</v>
      </c>
      <c r="J36" s="12">
        <f t="shared" si="7"/>
        <v>0</v>
      </c>
      <c r="K36" s="12">
        <f t="shared" si="8"/>
        <v>0</v>
      </c>
      <c r="L36" s="12">
        <f t="shared" si="9"/>
        <v>0</v>
      </c>
      <c r="M36" s="12">
        <f t="shared" si="10"/>
        <v>0</v>
      </c>
      <c r="N36" s="12">
        <f t="shared" si="11"/>
        <v>2.6530660760692992E-3</v>
      </c>
      <c r="O36" s="12">
        <f t="shared" si="12"/>
        <v>0</v>
      </c>
      <c r="P36" s="12">
        <f t="shared" si="13"/>
        <v>1.1612490448240642E-2</v>
      </c>
      <c r="Q36" s="12">
        <f t="shared" si="14"/>
        <v>2.4442591716788975E-3</v>
      </c>
      <c r="R36" s="12">
        <f t="shared" si="14"/>
        <v>4.1611043871341291E-3</v>
      </c>
      <c r="T36" s="41">
        <v>47644.509175884676</v>
      </c>
      <c r="U36" s="41">
        <v>25351.715362846873</v>
      </c>
      <c r="V36" s="41">
        <v>27207.241707627738</v>
      </c>
      <c r="W36" s="41">
        <v>50547.153396558046</v>
      </c>
      <c r="X36" s="41">
        <v>32377.757460409317</v>
      </c>
      <c r="Y36" s="41">
        <v>50619.475304492487</v>
      </c>
      <c r="Z36" s="41">
        <v>14443.814419216424</v>
      </c>
      <c r="AA36" s="41">
        <v>11245.073262235313</v>
      </c>
      <c r="AB36" s="41">
        <v>33471.387914616527</v>
      </c>
      <c r="AC36" s="41">
        <v>45480.199351126874</v>
      </c>
      <c r="AD36" s="41">
        <v>6774530.1527501363</v>
      </c>
      <c r="AE36" s="41">
        <v>20009.386537314203</v>
      </c>
      <c r="AF36" s="41">
        <v>95717.140020573788</v>
      </c>
      <c r="AG36" s="41">
        <v>35302.352011411043</v>
      </c>
    </row>
    <row r="37" spans="4:33" x14ac:dyDescent="0.25">
      <c r="D37" s="7">
        <v>50</v>
      </c>
      <c r="E37" s="12">
        <f t="shared" si="2"/>
        <v>6.4413186518539334E-3</v>
      </c>
      <c r="F37" s="12">
        <f t="shared" si="3"/>
        <v>0</v>
      </c>
      <c r="G37" s="12">
        <f t="shared" si="4"/>
        <v>6.8030660761928541E-3</v>
      </c>
      <c r="H37" s="12">
        <f t="shared" si="5"/>
        <v>0</v>
      </c>
      <c r="I37" s="12">
        <f t="shared" si="6"/>
        <v>7.3476273055710362E-3</v>
      </c>
      <c r="J37" s="12">
        <f t="shared" si="7"/>
        <v>0</v>
      </c>
      <c r="K37" s="12">
        <f t="shared" si="8"/>
        <v>0</v>
      </c>
      <c r="L37" s="12">
        <f t="shared" si="9"/>
        <v>0</v>
      </c>
      <c r="M37" s="12">
        <f t="shared" si="10"/>
        <v>0</v>
      </c>
      <c r="N37" s="12">
        <f t="shared" si="11"/>
        <v>2.6530660760692992E-3</v>
      </c>
      <c r="O37" s="12">
        <f t="shared" si="12"/>
        <v>0</v>
      </c>
      <c r="P37" s="12">
        <f t="shared" si="13"/>
        <v>1.1612490448240642E-2</v>
      </c>
      <c r="Q37" s="12">
        <f t="shared" si="14"/>
        <v>2.4442591716788975E-3</v>
      </c>
      <c r="R37" s="12">
        <f t="shared" si="14"/>
        <v>4.1611043871341291E-3</v>
      </c>
      <c r="T37" s="41">
        <v>47951.402641497727</v>
      </c>
      <c r="U37" s="41">
        <v>25310.418227333961</v>
      </c>
      <c r="V37" s="41">
        <v>27392.334370715678</v>
      </c>
      <c r="W37" s="41">
        <v>50369.35163908761</v>
      </c>
      <c r="X37" s="41">
        <v>32615.657155218578</v>
      </c>
      <c r="Y37" s="41">
        <v>50573.348779702428</v>
      </c>
      <c r="Z37" s="41">
        <v>14411.124208479776</v>
      </c>
      <c r="AA37" s="41">
        <v>11196.28760867836</v>
      </c>
      <c r="AB37" s="41">
        <v>33311.323000539734</v>
      </c>
      <c r="AC37" s="41">
        <v>45600.861325158221</v>
      </c>
      <c r="AD37" s="41">
        <v>6764406.6494750297</v>
      </c>
      <c r="AE37" s="41">
        <v>20241.745347353921</v>
      </c>
      <c r="AF37" s="41">
        <v>95951.097517955946</v>
      </c>
      <c r="AG37" s="41">
        <v>35449.248783241877</v>
      </c>
    </row>
    <row r="38" spans="4:33" x14ac:dyDescent="0.25">
      <c r="D38" s="7">
        <v>51</v>
      </c>
      <c r="E38" s="12">
        <f t="shared" si="2"/>
        <v>6.4413186518539334E-3</v>
      </c>
      <c r="F38" s="12">
        <f t="shared" si="3"/>
        <v>0</v>
      </c>
      <c r="G38" s="12">
        <f t="shared" si="4"/>
        <v>6.8030660761928541E-3</v>
      </c>
      <c r="H38" s="12">
        <f t="shared" si="5"/>
        <v>0</v>
      </c>
      <c r="I38" s="12">
        <f t="shared" si="6"/>
        <v>7.3476273055710362E-3</v>
      </c>
      <c r="J38" s="12">
        <f t="shared" si="7"/>
        <v>0</v>
      </c>
      <c r="K38" s="12">
        <f t="shared" si="8"/>
        <v>0</v>
      </c>
      <c r="L38" s="12">
        <f t="shared" si="9"/>
        <v>0</v>
      </c>
      <c r="M38" s="12">
        <f t="shared" si="10"/>
        <v>0</v>
      </c>
      <c r="N38" s="12">
        <f t="shared" si="11"/>
        <v>2.6530660760692992E-3</v>
      </c>
      <c r="O38" s="12">
        <f t="shared" si="12"/>
        <v>0</v>
      </c>
      <c r="P38" s="12">
        <f t="shared" si="13"/>
        <v>1.1612490448240642E-2</v>
      </c>
      <c r="Q38" s="12">
        <f t="shared" si="14"/>
        <v>2.4442591716788975E-3</v>
      </c>
      <c r="R38" s="12">
        <f t="shared" si="14"/>
        <v>4.1611043871341291E-3</v>
      </c>
      <c r="T38" s="41">
        <v>48260.272905714963</v>
      </c>
      <c r="U38" s="41">
        <v>25269.188363537269</v>
      </c>
      <c r="V38" s="41">
        <v>27578.686231420827</v>
      </c>
      <c r="W38" s="41">
        <v>50192.175306845602</v>
      </c>
      <c r="X38" s="41">
        <v>32855.304848321408</v>
      </c>
      <c r="Y38" s="41">
        <v>50527.264287277903</v>
      </c>
      <c r="Z38" s="41">
        <v>14378.507984423308</v>
      </c>
      <c r="AA38" s="41">
        <v>11147.713606921043</v>
      </c>
      <c r="AB38" s="41">
        <v>33152.023539535388</v>
      </c>
      <c r="AC38" s="41">
        <v>45721.843423379541</v>
      </c>
      <c r="AD38" s="41">
        <v>6754298.274233344</v>
      </c>
      <c r="AE38" s="41">
        <v>20476.802421855788</v>
      </c>
      <c r="AF38" s="41">
        <v>96185.626868096864</v>
      </c>
      <c r="AG38" s="41">
        <v>35596.756807874437</v>
      </c>
    </row>
    <row r="39" spans="4:33" x14ac:dyDescent="0.25">
      <c r="D39" s="7">
        <v>52</v>
      </c>
      <c r="E39" s="12">
        <f t="shared" si="2"/>
        <v>6.4413186518539334E-3</v>
      </c>
      <c r="F39" s="12">
        <f t="shared" si="3"/>
        <v>0</v>
      </c>
      <c r="G39" s="12">
        <f t="shared" si="4"/>
        <v>6.8030660761928541E-3</v>
      </c>
      <c r="H39" s="12">
        <f t="shared" si="5"/>
        <v>0</v>
      </c>
      <c r="I39" s="12">
        <f t="shared" si="6"/>
        <v>7.3476273055710362E-3</v>
      </c>
      <c r="J39" s="12">
        <f t="shared" si="7"/>
        <v>0</v>
      </c>
      <c r="K39" s="12">
        <f t="shared" si="8"/>
        <v>0</v>
      </c>
      <c r="L39" s="12">
        <f t="shared" si="9"/>
        <v>0</v>
      </c>
      <c r="M39" s="12">
        <f t="shared" si="10"/>
        <v>0</v>
      </c>
      <c r="N39" s="12">
        <f t="shared" si="11"/>
        <v>2.6530660760692992E-3</v>
      </c>
      <c r="O39" s="12">
        <f t="shared" si="12"/>
        <v>0</v>
      </c>
      <c r="P39" s="12">
        <f t="shared" si="13"/>
        <v>1.1612490448240642E-2</v>
      </c>
      <c r="Q39" s="12">
        <f t="shared" si="14"/>
        <v>2.4442591716788975E-3</v>
      </c>
      <c r="R39" s="12">
        <f t="shared" si="14"/>
        <v>4.1611043871341291E-3</v>
      </c>
      <c r="T39" s="41">
        <v>48571.132701726106</v>
      </c>
      <c r="U39" s="41">
        <v>25228.025661873315</v>
      </c>
      <c r="V39" s="41">
        <v>27766.305856147774</v>
      </c>
      <c r="W39" s="41">
        <v>50015.622199872239</v>
      </c>
      <c r="X39" s="41">
        <v>33096.713383357797</v>
      </c>
      <c r="Y39" s="41">
        <v>50481.221788917312</v>
      </c>
      <c r="Z39" s="41">
        <v>14345.965579595397</v>
      </c>
      <c r="AA39" s="41">
        <v>11099.350338732671</v>
      </c>
      <c r="AB39" s="41">
        <v>32993.485871098572</v>
      </c>
      <c r="AC39" s="41">
        <v>45843.146495101464</v>
      </c>
      <c r="AD39" s="41">
        <v>6744205.004418538</v>
      </c>
      <c r="AE39" s="41">
        <v>20714.589094390099</v>
      </c>
      <c r="AF39" s="41">
        <v>96420.729468752892</v>
      </c>
      <c r="AG39" s="41">
        <v>35744.878628795428</v>
      </c>
    </row>
    <row r="40" spans="4:33" x14ac:dyDescent="0.25">
      <c r="D40" s="7">
        <v>53</v>
      </c>
      <c r="E40" s="12">
        <f t="shared" si="2"/>
        <v>6.4413186518539334E-3</v>
      </c>
      <c r="F40" s="12">
        <f t="shared" si="3"/>
        <v>0</v>
      </c>
      <c r="G40" s="12">
        <f t="shared" si="4"/>
        <v>6.8030660761928541E-3</v>
      </c>
      <c r="H40" s="12">
        <f t="shared" si="5"/>
        <v>0</v>
      </c>
      <c r="I40" s="12">
        <f t="shared" si="6"/>
        <v>7.3476273055710362E-3</v>
      </c>
      <c r="J40" s="12">
        <f t="shared" si="7"/>
        <v>0</v>
      </c>
      <c r="K40" s="12">
        <f t="shared" si="8"/>
        <v>0</v>
      </c>
      <c r="L40" s="12">
        <f t="shared" si="9"/>
        <v>0</v>
      </c>
      <c r="M40" s="12">
        <f t="shared" si="10"/>
        <v>0</v>
      </c>
      <c r="N40" s="12">
        <f t="shared" si="11"/>
        <v>2.6530660760692992E-3</v>
      </c>
      <c r="O40" s="12">
        <f t="shared" si="12"/>
        <v>0</v>
      </c>
      <c r="P40" s="12">
        <f t="shared" si="13"/>
        <v>1.1612490448240642E-2</v>
      </c>
      <c r="Q40" s="12">
        <f t="shared" si="14"/>
        <v>2.4442591716788975E-3</v>
      </c>
      <c r="R40" s="12">
        <f t="shared" si="14"/>
        <v>4.1611043871341291E-3</v>
      </c>
      <c r="T40" s="41">
        <v>48883.994844739405</v>
      </c>
      <c r="U40" s="41">
        <v>25186.93001293713</v>
      </c>
      <c r="V40" s="41">
        <v>27955.201869578927</v>
      </c>
      <c r="W40" s="41">
        <v>49839.690125946188</v>
      </c>
      <c r="X40" s="41">
        <v>33339.895698338012</v>
      </c>
      <c r="Y40" s="41">
        <v>50435.221246353954</v>
      </c>
      <c r="Z40" s="41">
        <v>14313.496826923407</v>
      </c>
      <c r="AA40" s="41">
        <v>11051.196889866209</v>
      </c>
      <c r="AB40" s="41">
        <v>32835.706352229405</v>
      </c>
      <c r="AC40" s="41">
        <v>45964.771391887894</v>
      </c>
      <c r="AD40" s="41">
        <v>6734126.817457852</v>
      </c>
      <c r="AE40" s="41">
        <v>20955.137062387934</v>
      </c>
      <c r="AF40" s="41">
        <v>96656.406721096864</v>
      </c>
      <c r="AG40" s="41">
        <v>35893.616800075288</v>
      </c>
    </row>
    <row r="41" spans="4:33" x14ac:dyDescent="0.25">
      <c r="D41" s="7">
        <v>54</v>
      </c>
      <c r="E41" s="12">
        <f t="shared" si="2"/>
        <v>6.4413186518545995E-3</v>
      </c>
      <c r="F41" s="12">
        <f t="shared" si="3"/>
        <v>0</v>
      </c>
      <c r="G41" s="12">
        <f t="shared" si="4"/>
        <v>6.8030660761932982E-3</v>
      </c>
      <c r="H41" s="12">
        <f t="shared" si="5"/>
        <v>0</v>
      </c>
      <c r="I41" s="12">
        <f t="shared" si="6"/>
        <v>7.3476273055708141E-3</v>
      </c>
      <c r="J41" s="12">
        <f t="shared" si="7"/>
        <v>0</v>
      </c>
      <c r="K41" s="12">
        <f t="shared" si="8"/>
        <v>0</v>
      </c>
      <c r="L41" s="12">
        <f t="shared" si="9"/>
        <v>0</v>
      </c>
      <c r="M41" s="12">
        <f t="shared" si="10"/>
        <v>0</v>
      </c>
      <c r="N41" s="12">
        <f t="shared" si="11"/>
        <v>2.6530660760692992E-3</v>
      </c>
      <c r="O41" s="12">
        <f t="shared" si="12"/>
        <v>0</v>
      </c>
      <c r="P41" s="12">
        <f t="shared" si="13"/>
        <v>1.1612490448240198E-2</v>
      </c>
      <c r="Q41" s="12">
        <f t="shared" si="14"/>
        <v>2.4442591716780093E-3</v>
      </c>
      <c r="R41" s="12">
        <f t="shared" si="14"/>
        <v>4.1611043871350173E-3</v>
      </c>
      <c r="T41" s="41">
        <v>49198.872232509988</v>
      </c>
      <c r="U41" s="41">
        <v>25145.901307501968</v>
      </c>
      <c r="V41" s="41">
        <v>28145.382955070992</v>
      </c>
      <c r="W41" s="41">
        <v>49664.376900557319</v>
      </c>
      <c r="X41" s="41">
        <v>33584.864826336001</v>
      </c>
      <c r="Y41" s="41">
        <v>50389.262621356029</v>
      </c>
      <c r="Z41" s="41">
        <v>14281.101559712833</v>
      </c>
      <c r="AA41" s="41">
        <v>11003.252350040999</v>
      </c>
      <c r="AB41" s="41">
        <v>32678.681357349371</v>
      </c>
      <c r="AC41" s="41">
        <v>46086.718967561988</v>
      </c>
      <c r="AD41" s="41">
        <v>6724063.690812259</v>
      </c>
      <c r="AE41" s="41">
        <v>21198.478391366476</v>
      </c>
      <c r="AF41" s="41">
        <v>96892.66002972635</v>
      </c>
      <c r="AG41" s="41">
        <v>36042.973886412226</v>
      </c>
    </row>
    <row r="42" spans="4:33" x14ac:dyDescent="0.25">
      <c r="D42" s="7">
        <v>55</v>
      </c>
      <c r="E42" s="12">
        <f t="shared" si="2"/>
        <v>1.5652850014453268E-2</v>
      </c>
      <c r="F42" s="12">
        <f t="shared" si="3"/>
        <v>0</v>
      </c>
      <c r="G42" s="12">
        <f t="shared" si="4"/>
        <v>0</v>
      </c>
      <c r="H42" s="12">
        <f t="shared" si="5"/>
        <v>0</v>
      </c>
      <c r="I42" s="12">
        <f t="shared" si="6"/>
        <v>4.2769225875665118E-3</v>
      </c>
      <c r="J42" s="12">
        <f t="shared" si="7"/>
        <v>0</v>
      </c>
      <c r="K42" s="12">
        <f t="shared" si="8"/>
        <v>0</v>
      </c>
      <c r="L42" s="12">
        <f t="shared" si="9"/>
        <v>6.055107419145056E-3</v>
      </c>
      <c r="M42" s="12">
        <f t="shared" si="10"/>
        <v>0</v>
      </c>
      <c r="N42" s="12">
        <f t="shared" si="11"/>
        <v>1.7184988538202939E-2</v>
      </c>
      <c r="O42" s="12">
        <f t="shared" si="12"/>
        <v>0</v>
      </c>
      <c r="P42" s="12">
        <f t="shared" si="13"/>
        <v>6.2457197659036012E-3</v>
      </c>
      <c r="Q42" s="12">
        <f t="shared" si="14"/>
        <v>3.6028407964716624E-3</v>
      </c>
      <c r="R42" s="12">
        <f t="shared" si="14"/>
        <v>1.7080886218578728E-2</v>
      </c>
      <c r="T42" s="41">
        <v>49968.974800445714</v>
      </c>
      <c r="U42" s="41">
        <v>24683.687865542914</v>
      </c>
      <c r="V42" s="41">
        <v>28140.268866248596</v>
      </c>
      <c r="W42" s="41">
        <v>48815.981050419061</v>
      </c>
      <c r="X42" s="41">
        <v>33728.504693312127</v>
      </c>
      <c r="Y42" s="41">
        <v>50282.407581087908</v>
      </c>
      <c r="Z42" s="41">
        <v>14152.564823165287</v>
      </c>
      <c r="AA42" s="41">
        <v>11069.878224980457</v>
      </c>
      <c r="AB42" s="41">
        <v>32100.720175373841</v>
      </c>
      <c r="AC42" s="41">
        <v>46878.718704782921</v>
      </c>
      <c r="AD42" s="41">
        <v>6696853.8110522106</v>
      </c>
      <c r="AE42" s="41">
        <v>21330.878146862513</v>
      </c>
      <c r="AF42" s="41">
        <v>97241.748858160106</v>
      </c>
      <c r="AG42" s="41">
        <v>36658.619822345237</v>
      </c>
    </row>
    <row r="43" spans="4:33" x14ac:dyDescent="0.25">
      <c r="D43" s="7">
        <v>56</v>
      </c>
      <c r="E43" s="12">
        <f t="shared" si="2"/>
        <v>1.5652850014453268E-2</v>
      </c>
      <c r="F43" s="12">
        <f t="shared" si="3"/>
        <v>0</v>
      </c>
      <c r="G43" s="12">
        <f t="shared" si="4"/>
        <v>0</v>
      </c>
      <c r="H43" s="12">
        <f t="shared" si="5"/>
        <v>0</v>
      </c>
      <c r="I43" s="12">
        <f t="shared" si="6"/>
        <v>4.2769225875665118E-3</v>
      </c>
      <c r="J43" s="12">
        <f t="shared" si="7"/>
        <v>0</v>
      </c>
      <c r="K43" s="12">
        <f t="shared" si="8"/>
        <v>0</v>
      </c>
      <c r="L43" s="12">
        <f t="shared" si="9"/>
        <v>6.055107419145056E-3</v>
      </c>
      <c r="M43" s="12">
        <f t="shared" si="10"/>
        <v>0</v>
      </c>
      <c r="N43" s="12">
        <f t="shared" si="11"/>
        <v>1.7184988538202939E-2</v>
      </c>
      <c r="O43" s="12">
        <f t="shared" si="12"/>
        <v>0</v>
      </c>
      <c r="P43" s="12">
        <f t="shared" si="13"/>
        <v>6.2457197659036012E-3</v>
      </c>
      <c r="Q43" s="12">
        <f t="shared" si="14"/>
        <v>3.6028407964716624E-3</v>
      </c>
      <c r="R43" s="12">
        <f t="shared" si="14"/>
        <v>1.7080886218578728E-2</v>
      </c>
      <c r="T43" s="41">
        <v>50751.131668373084</v>
      </c>
      <c r="U43" s="41">
        <v>24229.970490728763</v>
      </c>
      <c r="V43" s="41">
        <v>28135.155706669357</v>
      </c>
      <c r="W43" s="41">
        <v>47982.077992971492</v>
      </c>
      <c r="X43" s="41">
        <v>33872.758896879794</v>
      </c>
      <c r="Y43" s="41">
        <v>50175.779136706231</v>
      </c>
      <c r="Z43" s="41">
        <v>14025.184978652518</v>
      </c>
      <c r="AA43" s="41">
        <v>11136.907526749568</v>
      </c>
      <c r="AB43" s="41">
        <v>31532.980921395276</v>
      </c>
      <c r="AC43" s="41">
        <v>47684.328948410257</v>
      </c>
      <c r="AD43" s="41">
        <v>6669754.0399393439</v>
      </c>
      <c r="AE43" s="41">
        <v>21464.104834128455</v>
      </c>
      <c r="AF43" s="41">
        <v>97592.095398066536</v>
      </c>
      <c r="AG43" s="41">
        <v>37284.781536460854</v>
      </c>
    </row>
    <row r="44" spans="4:33" x14ac:dyDescent="0.25">
      <c r="D44" s="7">
        <v>57</v>
      </c>
      <c r="E44" s="12">
        <f t="shared" si="2"/>
        <v>1.5652850014453268E-2</v>
      </c>
      <c r="F44" s="12">
        <f t="shared" si="3"/>
        <v>0</v>
      </c>
      <c r="G44" s="12">
        <f t="shared" si="4"/>
        <v>0</v>
      </c>
      <c r="H44" s="12">
        <f t="shared" si="5"/>
        <v>0</v>
      </c>
      <c r="I44" s="12">
        <f t="shared" si="6"/>
        <v>4.2769225875665118E-3</v>
      </c>
      <c r="J44" s="12">
        <f t="shared" si="7"/>
        <v>0</v>
      </c>
      <c r="K44" s="12">
        <f t="shared" si="8"/>
        <v>0</v>
      </c>
      <c r="L44" s="12">
        <f t="shared" si="9"/>
        <v>6.055107419145056E-3</v>
      </c>
      <c r="M44" s="12">
        <f t="shared" si="10"/>
        <v>0</v>
      </c>
      <c r="N44" s="12">
        <f t="shared" si="11"/>
        <v>1.7184988538202939E-2</v>
      </c>
      <c r="O44" s="12">
        <f t="shared" si="12"/>
        <v>0</v>
      </c>
      <c r="P44" s="12">
        <f t="shared" si="13"/>
        <v>6.2457197659036012E-3</v>
      </c>
      <c r="Q44" s="12">
        <f t="shared" si="14"/>
        <v>3.6028407964716624E-3</v>
      </c>
      <c r="R44" s="12">
        <f t="shared" si="14"/>
        <v>1.7080886218578728E-2</v>
      </c>
      <c r="T44" s="41">
        <v>51545.531520441895</v>
      </c>
      <c r="U44" s="41">
        <v>23784.593014609232</v>
      </c>
      <c r="V44" s="41">
        <v>28130.043476164428</v>
      </c>
      <c r="W44" s="41">
        <v>47162.420153877763</v>
      </c>
      <c r="X44" s="41">
        <v>34017.630064509052</v>
      </c>
      <c r="Y44" s="41">
        <v>50069.37680769369</v>
      </c>
      <c r="Z44" s="41">
        <v>13898.951613593534</v>
      </c>
      <c r="AA44" s="41">
        <v>11204.342698141121</v>
      </c>
      <c r="AB44" s="41">
        <v>30975.282808510965</v>
      </c>
      <c r="AC44" s="41">
        <v>48503.783594840585</v>
      </c>
      <c r="AD44" s="41">
        <v>6642763.9319033623</v>
      </c>
      <c r="AE44" s="41">
        <v>21598.163617948398</v>
      </c>
      <c r="AF44" s="41">
        <v>97943.704180779838</v>
      </c>
      <c r="AG44" s="41">
        <v>37921.638647569707</v>
      </c>
    </row>
    <row r="45" spans="4:33" x14ac:dyDescent="0.25">
      <c r="D45" s="7">
        <v>58</v>
      </c>
      <c r="E45" s="12">
        <f t="shared" si="2"/>
        <v>1.5652850014453268E-2</v>
      </c>
      <c r="F45" s="12">
        <f t="shared" si="3"/>
        <v>0</v>
      </c>
      <c r="G45" s="12">
        <f t="shared" si="4"/>
        <v>0</v>
      </c>
      <c r="H45" s="12">
        <f t="shared" si="5"/>
        <v>0</v>
      </c>
      <c r="I45" s="12">
        <f t="shared" si="6"/>
        <v>4.2769225875665118E-3</v>
      </c>
      <c r="J45" s="12">
        <f t="shared" si="7"/>
        <v>0</v>
      </c>
      <c r="K45" s="12">
        <f t="shared" si="8"/>
        <v>0</v>
      </c>
      <c r="L45" s="12">
        <f t="shared" si="9"/>
        <v>6.055107419145056E-3</v>
      </c>
      <c r="M45" s="12">
        <f t="shared" si="10"/>
        <v>0</v>
      </c>
      <c r="N45" s="12">
        <f t="shared" si="11"/>
        <v>1.7184988538202939E-2</v>
      </c>
      <c r="O45" s="12">
        <f t="shared" si="12"/>
        <v>0</v>
      </c>
      <c r="P45" s="12">
        <f t="shared" si="13"/>
        <v>6.2457197659036012E-3</v>
      </c>
      <c r="Q45" s="12">
        <f t="shared" si="14"/>
        <v>3.6028407964716624E-3</v>
      </c>
      <c r="R45" s="12">
        <f t="shared" si="14"/>
        <v>1.7080886218578728E-2</v>
      </c>
      <c r="T45" s="41">
        <v>52352.365994246647</v>
      </c>
      <c r="U45" s="41">
        <v>23347.402139307498</v>
      </c>
      <c r="V45" s="41">
        <v>28124.932174564994</v>
      </c>
      <c r="W45" s="41">
        <v>46356.764188010246</v>
      </c>
      <c r="X45" s="41">
        <v>34163.12083490743</v>
      </c>
      <c r="Y45" s="41">
        <v>49963.200114551961</v>
      </c>
      <c r="Z45" s="41">
        <v>13773.854409125541</v>
      </c>
      <c r="AA45" s="41">
        <v>11272.18619673928</v>
      </c>
      <c r="AB45" s="41">
        <v>30427.448247248685</v>
      </c>
      <c r="AC45" s="41">
        <v>49337.320559977394</v>
      </c>
      <c r="AD45" s="41">
        <v>6615883.0431770328</v>
      </c>
      <c r="AE45" s="41">
        <v>21733.059695364238</v>
      </c>
      <c r="AF45" s="41">
        <v>98296.579753959901</v>
      </c>
      <c r="AG45" s="41">
        <v>38569.373842530906</v>
      </c>
    </row>
    <row r="46" spans="4:33" x14ac:dyDescent="0.25">
      <c r="D46" s="7">
        <v>59</v>
      </c>
      <c r="E46" s="12">
        <f t="shared" si="2"/>
        <v>1.5652850014453268E-2</v>
      </c>
      <c r="F46" s="12">
        <f t="shared" si="3"/>
        <v>0</v>
      </c>
      <c r="G46" s="12">
        <f t="shared" si="4"/>
        <v>0</v>
      </c>
      <c r="H46" s="12">
        <f t="shared" si="5"/>
        <v>0</v>
      </c>
      <c r="I46" s="12">
        <f t="shared" si="6"/>
        <v>4.2769225875665118E-3</v>
      </c>
      <c r="J46" s="12">
        <f t="shared" si="7"/>
        <v>0</v>
      </c>
      <c r="K46" s="12">
        <f t="shared" si="8"/>
        <v>0</v>
      </c>
      <c r="L46" s="12">
        <f t="shared" si="9"/>
        <v>6.055107419145056E-3</v>
      </c>
      <c r="M46" s="12">
        <f t="shared" si="10"/>
        <v>0</v>
      </c>
      <c r="N46" s="12">
        <f t="shared" si="11"/>
        <v>1.7184988538202939E-2</v>
      </c>
      <c r="O46" s="12">
        <f t="shared" si="12"/>
        <v>0</v>
      </c>
      <c r="P46" s="12">
        <f t="shared" si="13"/>
        <v>6.2457197659036012E-3</v>
      </c>
      <c r="Q46" s="12">
        <f t="shared" si="14"/>
        <v>3.6028407964716624E-3</v>
      </c>
      <c r="R46" s="12">
        <f t="shared" si="14"/>
        <v>1.7080886218578728E-2</v>
      </c>
      <c r="T46" s="41">
        <v>53171.829727056356</v>
      </c>
      <c r="U46" s="41">
        <v>22918.247384755432</v>
      </c>
      <c r="V46" s="41">
        <v>28119.82180170227</v>
      </c>
      <c r="W46" s="41">
        <v>45564.870907204699</v>
      </c>
      <c r="X46" s="41">
        <v>34309.233858068008</v>
      </c>
      <c r="Y46" s="41">
        <v>49857.248578799547</v>
      </c>
      <c r="Z46" s="41">
        <v>13649.883139260442</v>
      </c>
      <c r="AA46" s="41">
        <v>11340.440495009139</v>
      </c>
      <c r="AB46" s="41">
        <v>29889.302789016354</v>
      </c>
      <c r="AC46" s="41">
        <v>50185.181848306253</v>
      </c>
      <c r="AD46" s="41">
        <v>6589110.9317888906</v>
      </c>
      <c r="AE46" s="41">
        <v>21868.798295877139</v>
      </c>
      <c r="AF46" s="41">
        <v>98650.726681651096</v>
      </c>
      <c r="AG46" s="41">
        <v>39228.172928657004</v>
      </c>
    </row>
    <row r="47" spans="4:33" x14ac:dyDescent="0.25">
      <c r="D47" s="7">
        <v>60</v>
      </c>
      <c r="E47" s="12">
        <f t="shared" si="2"/>
        <v>1.5652850014453268E-2</v>
      </c>
      <c r="F47" s="12">
        <f t="shared" si="3"/>
        <v>0</v>
      </c>
      <c r="G47" s="12">
        <f t="shared" si="4"/>
        <v>0</v>
      </c>
      <c r="H47" s="12">
        <f t="shared" si="5"/>
        <v>0</v>
      </c>
      <c r="I47" s="12">
        <f t="shared" si="6"/>
        <v>4.2769225875665118E-3</v>
      </c>
      <c r="J47" s="12">
        <f t="shared" si="7"/>
        <v>0</v>
      </c>
      <c r="K47" s="12">
        <f t="shared" si="8"/>
        <v>0</v>
      </c>
      <c r="L47" s="12">
        <f t="shared" si="9"/>
        <v>6.055107419145056E-3</v>
      </c>
      <c r="M47" s="12">
        <f t="shared" si="10"/>
        <v>0</v>
      </c>
      <c r="N47" s="12">
        <f t="shared" si="11"/>
        <v>1.7184988538202939E-2</v>
      </c>
      <c r="O47" s="12">
        <f t="shared" si="12"/>
        <v>0</v>
      </c>
      <c r="P47" s="12">
        <f t="shared" si="13"/>
        <v>6.2457197659036012E-3</v>
      </c>
      <c r="Q47" s="12">
        <f t="shared" si="14"/>
        <v>3.6028407964716624E-3</v>
      </c>
      <c r="R47" s="12">
        <f t="shared" si="14"/>
        <v>1.7080886218578728E-2</v>
      </c>
      <c r="T47" s="41">
        <v>54004.120402768014</v>
      </c>
      <c r="U47" s="41">
        <v>22496.981036898709</v>
      </c>
      <c r="V47" s="41">
        <v>28114.712357407505</v>
      </c>
      <c r="W47" s="41">
        <v>44786.505209248586</v>
      </c>
      <c r="X47" s="41">
        <v>34455.971795317681</v>
      </c>
      <c r="Y47" s="41">
        <v>49751.521722969606</v>
      </c>
      <c r="Z47" s="41">
        <v>13527.027670048919</v>
      </c>
      <c r="AA47" s="41">
        <v>11409.108080386843</v>
      </c>
      <c r="AB47" s="41">
        <v>29360.675070551843</v>
      </c>
      <c r="AC47" s="41">
        <v>51047.613623157027</v>
      </c>
      <c r="AD47" s="41">
        <v>6562447.1575559704</v>
      </c>
      <c r="AE47" s="41">
        <v>22005.384681650259</v>
      </c>
      <c r="AF47" s="41">
        <v>99006.14954434133</v>
      </c>
      <c r="AG47" s="41">
        <v>39898.224887014127</v>
      </c>
    </row>
    <row r="48" spans="4:33" x14ac:dyDescent="0.25">
      <c r="D48" s="7">
        <v>61</v>
      </c>
      <c r="E48" s="12">
        <f t="shared" si="2"/>
        <v>1.5652850014453268E-2</v>
      </c>
      <c r="F48" s="12">
        <f t="shared" si="3"/>
        <v>0</v>
      </c>
      <c r="G48" s="12">
        <f t="shared" si="4"/>
        <v>0</v>
      </c>
      <c r="H48" s="12">
        <f t="shared" si="5"/>
        <v>0</v>
      </c>
      <c r="I48" s="12">
        <f t="shared" si="6"/>
        <v>4.2769225875665118E-3</v>
      </c>
      <c r="J48" s="12">
        <f t="shared" si="7"/>
        <v>0</v>
      </c>
      <c r="K48" s="12">
        <f t="shared" si="8"/>
        <v>0</v>
      </c>
      <c r="L48" s="12">
        <f t="shared" si="9"/>
        <v>6.055107419145056E-3</v>
      </c>
      <c r="M48" s="12">
        <f t="shared" si="10"/>
        <v>0</v>
      </c>
      <c r="N48" s="12">
        <f t="shared" si="11"/>
        <v>1.7184988538202939E-2</v>
      </c>
      <c r="O48" s="12">
        <f t="shared" si="12"/>
        <v>0</v>
      </c>
      <c r="P48" s="12">
        <f t="shared" si="13"/>
        <v>6.2457197659036012E-3</v>
      </c>
      <c r="Q48" s="12">
        <f t="shared" si="14"/>
        <v>3.6028407964716624E-3</v>
      </c>
      <c r="R48" s="12">
        <f t="shared" si="14"/>
        <v>1.7080886218578728E-2</v>
      </c>
      <c r="T48" s="41">
        <v>54849.438799595016</v>
      </c>
      <c r="U48" s="41">
        <v>22083.458096853992</v>
      </c>
      <c r="V48" s="41">
        <v>28109.603841511973</v>
      </c>
      <c r="W48" s="41">
        <v>44021.436008082477</v>
      </c>
      <c r="X48" s="41">
        <v>34603.33731936563</v>
      </c>
      <c r="Y48" s="41">
        <v>49646.019070607814</v>
      </c>
      <c r="Z48" s="41">
        <v>13405.27795875204</v>
      </c>
      <c r="AA48" s="41">
        <v>11478.191455370221</v>
      </c>
      <c r="AB48" s="41">
        <v>28841.396759355259</v>
      </c>
      <c r="AC48" s="41">
        <v>51924.866278173591</v>
      </c>
      <c r="AD48" s="41">
        <v>6535891.2820765702</v>
      </c>
      <c r="AE48" s="41">
        <v>22142.824147712756</v>
      </c>
      <c r="AF48" s="41">
        <v>99362.85293902125</v>
      </c>
      <c r="AG48" s="41">
        <v>40579.721926632483</v>
      </c>
    </row>
    <row r="49" spans="4:33" x14ac:dyDescent="0.25">
      <c r="D49" s="7">
        <v>62</v>
      </c>
      <c r="E49" s="12">
        <f t="shared" si="2"/>
        <v>1.5652850014452824E-2</v>
      </c>
      <c r="F49" s="12">
        <f t="shared" si="3"/>
        <v>0</v>
      </c>
      <c r="G49" s="12">
        <f t="shared" si="4"/>
        <v>0</v>
      </c>
      <c r="H49" s="12">
        <f t="shared" si="5"/>
        <v>0</v>
      </c>
      <c r="I49" s="12">
        <f t="shared" si="6"/>
        <v>4.2769225875665118E-3</v>
      </c>
      <c r="J49" s="12">
        <f t="shared" si="7"/>
        <v>0</v>
      </c>
      <c r="K49" s="12">
        <f t="shared" si="8"/>
        <v>0</v>
      </c>
      <c r="L49" s="12">
        <f t="shared" si="9"/>
        <v>6.055107419144834E-3</v>
      </c>
      <c r="M49" s="12">
        <f t="shared" si="10"/>
        <v>0</v>
      </c>
      <c r="N49" s="12">
        <f t="shared" si="11"/>
        <v>1.7184988538203383E-2</v>
      </c>
      <c r="O49" s="12">
        <f t="shared" si="12"/>
        <v>0</v>
      </c>
      <c r="P49" s="12">
        <f t="shared" si="13"/>
        <v>6.2457197659040453E-3</v>
      </c>
      <c r="Q49" s="12">
        <f t="shared" si="14"/>
        <v>3.6028407964723286E-3</v>
      </c>
      <c r="R49" s="12">
        <f t="shared" si="14"/>
        <v>1.708088621857784E-2</v>
      </c>
      <c r="T49" s="41">
        <v>55707.988838501988</v>
      </c>
      <c r="U49" s="41">
        <v>21677.536231000646</v>
      </c>
      <c r="V49" s="41">
        <v>28104.496253846992</v>
      </c>
      <c r="W49" s="41">
        <v>43269.43616519378</v>
      </c>
      <c r="X49" s="41">
        <v>34751.333114352004</v>
      </c>
      <c r="Y49" s="41">
        <v>49540.740146270204</v>
      </c>
      <c r="Z49" s="41">
        <v>13284.624053020321</v>
      </c>
      <c r="AA49" s="41">
        <v>11547.693137609998</v>
      </c>
      <c r="AB49" s="41">
        <v>28331.302500086331</v>
      </c>
      <c r="AC49" s="41">
        <v>52817.194510011745</v>
      </c>
      <c r="AD49" s="41">
        <v>6509442.8687230404</v>
      </c>
      <c r="AE49" s="41">
        <v>22281.122022165062</v>
      </c>
      <c r="AF49" s="41">
        <v>99720.841479243842</v>
      </c>
      <c r="AG49" s="41">
        <v>41272.859539642821</v>
      </c>
    </row>
    <row r="50" spans="4:33" x14ac:dyDescent="0.25">
      <c r="D50" s="7">
        <v>63</v>
      </c>
      <c r="E50" s="12">
        <f t="shared" si="2"/>
        <v>0</v>
      </c>
      <c r="F50" s="12">
        <f t="shared" si="3"/>
        <v>0</v>
      </c>
      <c r="G50" s="12">
        <f t="shared" si="4"/>
        <v>0</v>
      </c>
      <c r="H50" s="12">
        <f t="shared" si="5"/>
        <v>0</v>
      </c>
      <c r="I50" s="12">
        <f t="shared" si="6"/>
        <v>0</v>
      </c>
      <c r="J50" s="12">
        <f t="shared" si="7"/>
        <v>0</v>
      </c>
      <c r="K50" s="12">
        <f t="shared" si="8"/>
        <v>0</v>
      </c>
      <c r="L50" s="12">
        <f t="shared" si="9"/>
        <v>0</v>
      </c>
      <c r="M50" s="12">
        <f t="shared" si="10"/>
        <v>0</v>
      </c>
      <c r="N50" s="12">
        <f t="shared" si="11"/>
        <v>0</v>
      </c>
      <c r="O50" s="12">
        <f t="shared" si="12"/>
        <v>0</v>
      </c>
      <c r="P50" s="12">
        <f t="shared" si="13"/>
        <v>0</v>
      </c>
      <c r="Q50" s="12">
        <f t="shared" si="14"/>
        <v>0</v>
      </c>
      <c r="R50" s="12">
        <f t="shared" si="14"/>
        <v>0</v>
      </c>
      <c r="T50" s="41">
        <v>55707.988838501988</v>
      </c>
      <c r="U50" s="41">
        <v>21677.536231000646</v>
      </c>
      <c r="V50" s="41">
        <v>28104.496253846992</v>
      </c>
      <c r="W50" s="41">
        <v>43269.43616519378</v>
      </c>
      <c r="X50" s="41">
        <v>34751.333114352004</v>
      </c>
      <c r="Y50" s="41">
        <v>49540.740146270204</v>
      </c>
      <c r="Z50" s="41">
        <v>13284.624053020321</v>
      </c>
      <c r="AA50" s="41">
        <v>11547.693137609998</v>
      </c>
      <c r="AB50" s="41">
        <v>28331.302500086331</v>
      </c>
      <c r="AC50" s="41">
        <v>52817.194510011745</v>
      </c>
      <c r="AD50" s="41">
        <v>6509442.8687230404</v>
      </c>
      <c r="AE50" s="41">
        <v>22281.122022165062</v>
      </c>
      <c r="AF50" s="41">
        <v>99720.841479243842</v>
      </c>
      <c r="AG50" s="41">
        <v>41272.859539642821</v>
      </c>
    </row>
    <row r="51" spans="4:33" x14ac:dyDescent="0.25">
      <c r="D51" s="7">
        <v>64</v>
      </c>
      <c r="E51" s="12">
        <f t="shared" si="2"/>
        <v>0</v>
      </c>
      <c r="F51" s="12">
        <f t="shared" si="3"/>
        <v>0</v>
      </c>
      <c r="G51" s="12">
        <f t="shared" si="4"/>
        <v>0</v>
      </c>
      <c r="H51" s="12">
        <f t="shared" si="5"/>
        <v>0</v>
      </c>
      <c r="I51" s="12">
        <f t="shared" si="6"/>
        <v>0</v>
      </c>
      <c r="J51" s="12">
        <f t="shared" si="7"/>
        <v>0</v>
      </c>
      <c r="K51" s="12">
        <f t="shared" si="8"/>
        <v>0</v>
      </c>
      <c r="L51" s="12">
        <f t="shared" si="9"/>
        <v>0</v>
      </c>
      <c r="M51" s="12">
        <f t="shared" si="10"/>
        <v>0</v>
      </c>
      <c r="N51" s="12">
        <f t="shared" si="11"/>
        <v>0</v>
      </c>
      <c r="O51" s="12">
        <f t="shared" si="12"/>
        <v>0</v>
      </c>
      <c r="P51" s="12">
        <f t="shared" si="13"/>
        <v>0</v>
      </c>
      <c r="Q51" s="12">
        <f t="shared" si="14"/>
        <v>0</v>
      </c>
      <c r="R51" s="12">
        <f t="shared" si="14"/>
        <v>0</v>
      </c>
      <c r="T51" s="41">
        <v>55707.988838501988</v>
      </c>
      <c r="U51" s="41">
        <v>21677.536231000646</v>
      </c>
      <c r="V51" s="41">
        <v>28104.496253846992</v>
      </c>
      <c r="W51" s="41">
        <v>43269.43616519378</v>
      </c>
      <c r="X51" s="41">
        <v>34751.333114352004</v>
      </c>
      <c r="Y51" s="41">
        <v>49540.740146270204</v>
      </c>
      <c r="Z51" s="41">
        <v>13284.624053020321</v>
      </c>
      <c r="AA51" s="41">
        <v>11547.693137609998</v>
      </c>
      <c r="AB51" s="41">
        <v>28331.302500086331</v>
      </c>
      <c r="AC51" s="41">
        <v>52817.194510011745</v>
      </c>
      <c r="AD51" s="41">
        <v>6509442.8687230404</v>
      </c>
      <c r="AE51" s="41">
        <v>22281.122022165062</v>
      </c>
      <c r="AF51" s="41">
        <v>99720.841479243842</v>
      </c>
      <c r="AG51" s="41">
        <v>41272.859539642821</v>
      </c>
    </row>
    <row r="52" spans="4:33" x14ac:dyDescent="0.25">
      <c r="D52" s="7">
        <v>65</v>
      </c>
      <c r="E52" s="12">
        <f t="shared" si="2"/>
        <v>0</v>
      </c>
      <c r="F52" s="12">
        <f t="shared" si="3"/>
        <v>0</v>
      </c>
      <c r="G52" s="12">
        <f t="shared" si="4"/>
        <v>0</v>
      </c>
      <c r="H52" s="12">
        <f t="shared" si="5"/>
        <v>0</v>
      </c>
      <c r="I52" s="12">
        <f t="shared" si="6"/>
        <v>0</v>
      </c>
      <c r="J52" s="12">
        <f t="shared" si="7"/>
        <v>0</v>
      </c>
      <c r="K52" s="12">
        <f t="shared" si="8"/>
        <v>0</v>
      </c>
      <c r="L52" s="12">
        <f t="shared" si="9"/>
        <v>0</v>
      </c>
      <c r="M52" s="12">
        <f t="shared" si="10"/>
        <v>0</v>
      </c>
      <c r="N52" s="12">
        <f t="shared" si="11"/>
        <v>0</v>
      </c>
      <c r="O52" s="12">
        <f t="shared" si="12"/>
        <v>0</v>
      </c>
      <c r="P52" s="12">
        <f t="shared" si="13"/>
        <v>0</v>
      </c>
      <c r="Q52" s="12">
        <f t="shared" si="14"/>
        <v>0</v>
      </c>
      <c r="R52" s="12">
        <f t="shared" si="14"/>
        <v>0</v>
      </c>
      <c r="T52" s="41">
        <v>55707.988838501988</v>
      </c>
      <c r="U52" s="41">
        <v>21677.536231000646</v>
      </c>
      <c r="V52" s="41">
        <v>28104.496253846992</v>
      </c>
      <c r="W52" s="41">
        <v>43269.43616519378</v>
      </c>
      <c r="X52" s="41">
        <v>34751.333114352004</v>
      </c>
      <c r="Y52" s="41">
        <v>49540.740146270204</v>
      </c>
      <c r="Z52" s="41">
        <v>13284.624053020321</v>
      </c>
      <c r="AA52" s="41">
        <v>11547.693137609998</v>
      </c>
      <c r="AB52" s="41">
        <v>28331.302500086331</v>
      </c>
      <c r="AC52" s="41">
        <v>52817.194510011745</v>
      </c>
      <c r="AD52" s="41">
        <v>6509442.8687230404</v>
      </c>
      <c r="AE52" s="41">
        <v>22281.122022165062</v>
      </c>
      <c r="AF52" s="41">
        <v>99720.841479243842</v>
      </c>
      <c r="AG52" s="41">
        <v>41272.859539642821</v>
      </c>
    </row>
    <row r="53" spans="4:33" x14ac:dyDescent="0.25">
      <c r="D53" s="7">
        <v>66</v>
      </c>
      <c r="E53" s="12">
        <f t="shared" si="2"/>
        <v>0</v>
      </c>
      <c r="F53" s="12">
        <f t="shared" si="3"/>
        <v>0</v>
      </c>
      <c r="G53" s="12">
        <f t="shared" si="4"/>
        <v>0</v>
      </c>
      <c r="H53" s="12">
        <f t="shared" si="5"/>
        <v>0</v>
      </c>
      <c r="I53" s="12">
        <f t="shared" si="6"/>
        <v>0</v>
      </c>
      <c r="J53" s="12">
        <f t="shared" si="7"/>
        <v>0</v>
      </c>
      <c r="K53" s="12">
        <f t="shared" si="8"/>
        <v>0</v>
      </c>
      <c r="L53" s="12">
        <f t="shared" si="9"/>
        <v>0</v>
      </c>
      <c r="M53" s="12">
        <f t="shared" si="10"/>
        <v>0</v>
      </c>
      <c r="N53" s="12">
        <f t="shared" si="11"/>
        <v>0</v>
      </c>
      <c r="O53" s="12">
        <f t="shared" si="12"/>
        <v>0</v>
      </c>
      <c r="P53" s="12">
        <f t="shared" si="13"/>
        <v>0</v>
      </c>
      <c r="Q53" s="12">
        <f t="shared" si="14"/>
        <v>0</v>
      </c>
      <c r="R53" s="12">
        <f t="shared" si="14"/>
        <v>0</v>
      </c>
      <c r="T53" s="41">
        <v>55707.988838501988</v>
      </c>
      <c r="U53" s="41">
        <v>21677.536231000646</v>
      </c>
      <c r="V53" s="41">
        <v>28104.496253846992</v>
      </c>
      <c r="W53" s="41">
        <v>43269.43616519378</v>
      </c>
      <c r="X53" s="41">
        <v>34751.333114352004</v>
      </c>
      <c r="Y53" s="41">
        <v>49540.740146270204</v>
      </c>
      <c r="Z53" s="41">
        <v>13284.624053020321</v>
      </c>
      <c r="AA53" s="41">
        <v>11547.693137609998</v>
      </c>
      <c r="AB53" s="41">
        <v>28331.302500086331</v>
      </c>
      <c r="AC53" s="41">
        <v>52817.194510011745</v>
      </c>
      <c r="AD53" s="41">
        <v>6509442.8687230404</v>
      </c>
      <c r="AE53" s="41">
        <v>22281.122022165062</v>
      </c>
      <c r="AF53" s="41">
        <v>99720.841479243842</v>
      </c>
      <c r="AG53" s="41">
        <v>41272.859539642821</v>
      </c>
    </row>
    <row r="54" spans="4:33" x14ac:dyDescent="0.25">
      <c r="D54" s="7">
        <v>67</v>
      </c>
      <c r="E54" s="12">
        <f t="shared" si="2"/>
        <v>0</v>
      </c>
      <c r="F54" s="12">
        <f t="shared" si="3"/>
        <v>0</v>
      </c>
      <c r="G54" s="12">
        <f t="shared" si="4"/>
        <v>0</v>
      </c>
      <c r="H54" s="12">
        <f t="shared" si="5"/>
        <v>0</v>
      </c>
      <c r="I54" s="12">
        <f t="shared" si="6"/>
        <v>0</v>
      </c>
      <c r="J54" s="12">
        <f t="shared" si="7"/>
        <v>0</v>
      </c>
      <c r="K54" s="12">
        <f t="shared" si="8"/>
        <v>0</v>
      </c>
      <c r="L54" s="12">
        <f t="shared" si="9"/>
        <v>0</v>
      </c>
      <c r="M54" s="12">
        <f t="shared" si="10"/>
        <v>0</v>
      </c>
      <c r="N54" s="12">
        <f t="shared" si="11"/>
        <v>0</v>
      </c>
      <c r="O54" s="12">
        <f t="shared" si="12"/>
        <v>0</v>
      </c>
      <c r="P54" s="12">
        <f t="shared" si="13"/>
        <v>0</v>
      </c>
      <c r="Q54" s="12">
        <f t="shared" si="14"/>
        <v>0</v>
      </c>
      <c r="R54" s="12">
        <f t="shared" si="14"/>
        <v>0</v>
      </c>
      <c r="T54" s="41">
        <v>55707.988838501988</v>
      </c>
      <c r="U54" s="41">
        <v>21677.536231000646</v>
      </c>
      <c r="V54" s="41">
        <v>28104.496253846992</v>
      </c>
      <c r="W54" s="41">
        <v>43269.43616519378</v>
      </c>
      <c r="X54" s="41">
        <v>34751.333114352004</v>
      </c>
      <c r="Y54" s="41">
        <v>49540.740146270204</v>
      </c>
      <c r="Z54" s="41">
        <v>13284.624053020321</v>
      </c>
      <c r="AA54" s="41">
        <v>11547.693137609998</v>
      </c>
      <c r="AB54" s="41">
        <v>28331.302500086331</v>
      </c>
      <c r="AC54" s="41">
        <v>52817.194510011745</v>
      </c>
      <c r="AD54" s="41">
        <v>6509442.8687230404</v>
      </c>
      <c r="AE54" s="41">
        <v>22281.122022165062</v>
      </c>
      <c r="AF54" s="41">
        <v>99720.841479243842</v>
      </c>
      <c r="AG54" s="41">
        <v>41272.859539642821</v>
      </c>
    </row>
    <row r="55" spans="4:33" x14ac:dyDescent="0.25">
      <c r="D55" s="7">
        <v>68</v>
      </c>
      <c r="E55" s="12">
        <f t="shared" si="2"/>
        <v>0</v>
      </c>
      <c r="F55" s="12">
        <f t="shared" si="3"/>
        <v>0</v>
      </c>
      <c r="G55" s="12">
        <f t="shared" si="4"/>
        <v>0</v>
      </c>
      <c r="H55" s="12">
        <f t="shared" si="5"/>
        <v>0</v>
      </c>
      <c r="I55" s="12">
        <f t="shared" si="6"/>
        <v>0</v>
      </c>
      <c r="J55" s="12">
        <f t="shared" si="7"/>
        <v>0</v>
      </c>
      <c r="K55" s="12">
        <f t="shared" si="8"/>
        <v>0</v>
      </c>
      <c r="L55" s="12">
        <f t="shared" si="9"/>
        <v>0</v>
      </c>
      <c r="M55" s="12">
        <f t="shared" si="10"/>
        <v>0</v>
      </c>
      <c r="N55" s="12">
        <f t="shared" si="11"/>
        <v>0</v>
      </c>
      <c r="O55" s="12">
        <f t="shared" si="12"/>
        <v>0</v>
      </c>
      <c r="P55" s="12">
        <f t="shared" si="13"/>
        <v>0</v>
      </c>
      <c r="Q55" s="12">
        <f t="shared" si="14"/>
        <v>0</v>
      </c>
      <c r="R55" s="12">
        <f t="shared" si="14"/>
        <v>0</v>
      </c>
      <c r="T55" s="41">
        <v>55707.988838501988</v>
      </c>
      <c r="U55" s="41">
        <v>21677.536231000646</v>
      </c>
      <c r="V55" s="41">
        <v>28104.496253846992</v>
      </c>
      <c r="W55" s="41">
        <v>43269.43616519378</v>
      </c>
      <c r="X55" s="41">
        <v>34751.333114352004</v>
      </c>
      <c r="Y55" s="41">
        <v>49540.740146270204</v>
      </c>
      <c r="Z55" s="41">
        <v>13284.624053020321</v>
      </c>
      <c r="AA55" s="41">
        <v>11547.693137609998</v>
      </c>
      <c r="AB55" s="41">
        <v>28331.302500086331</v>
      </c>
      <c r="AC55" s="41">
        <v>52817.194510011745</v>
      </c>
      <c r="AD55" s="41">
        <v>6509442.8687230404</v>
      </c>
      <c r="AE55" s="41">
        <v>22281.122022165062</v>
      </c>
      <c r="AF55" s="41">
        <v>99720.841479243842</v>
      </c>
      <c r="AG55" s="41">
        <v>41272.859539642821</v>
      </c>
    </row>
    <row r="56" spans="4:33" x14ac:dyDescent="0.25">
      <c r="D56" s="7">
        <v>69</v>
      </c>
      <c r="E56" s="12">
        <f t="shared" si="2"/>
        <v>0</v>
      </c>
      <c r="F56" s="12">
        <f t="shared" si="3"/>
        <v>0</v>
      </c>
      <c r="G56" s="12">
        <f t="shared" si="4"/>
        <v>0</v>
      </c>
      <c r="H56" s="12">
        <f t="shared" si="5"/>
        <v>0</v>
      </c>
      <c r="I56" s="12">
        <f t="shared" si="6"/>
        <v>0</v>
      </c>
      <c r="J56" s="12">
        <f t="shared" si="7"/>
        <v>0</v>
      </c>
      <c r="K56" s="12">
        <f t="shared" si="8"/>
        <v>0</v>
      </c>
      <c r="L56" s="12">
        <f t="shared" si="9"/>
        <v>0</v>
      </c>
      <c r="M56" s="12">
        <f t="shared" si="10"/>
        <v>0</v>
      </c>
      <c r="N56" s="12">
        <f t="shared" si="11"/>
        <v>0</v>
      </c>
      <c r="O56" s="12">
        <f t="shared" si="12"/>
        <v>0</v>
      </c>
      <c r="P56" s="12">
        <f t="shared" si="13"/>
        <v>0</v>
      </c>
      <c r="Q56" s="12">
        <f t="shared" si="14"/>
        <v>0</v>
      </c>
      <c r="R56" s="12">
        <f t="shared" si="14"/>
        <v>0</v>
      </c>
      <c r="T56" s="41">
        <v>55707.988838501988</v>
      </c>
      <c r="U56" s="41">
        <v>21677.536231000646</v>
      </c>
      <c r="V56" s="41">
        <v>28104.496253846992</v>
      </c>
      <c r="W56" s="41">
        <v>43269.43616519378</v>
      </c>
      <c r="X56" s="41">
        <v>34751.333114352004</v>
      </c>
      <c r="Y56" s="41">
        <v>49540.740146270204</v>
      </c>
      <c r="Z56" s="41">
        <v>13284.624053020321</v>
      </c>
      <c r="AA56" s="41">
        <v>11547.693137609998</v>
      </c>
      <c r="AB56" s="41">
        <v>28331.302500086331</v>
      </c>
      <c r="AC56" s="41">
        <v>52817.194510011745</v>
      </c>
      <c r="AD56" s="41">
        <v>6509442.8687230404</v>
      </c>
      <c r="AE56" s="41">
        <v>22281.122022165062</v>
      </c>
      <c r="AF56" s="41">
        <v>99720.841479243842</v>
      </c>
      <c r="AG56" s="41">
        <v>41272.859539642821</v>
      </c>
    </row>
    <row r="57" spans="4:33" x14ac:dyDescent="0.25">
      <c r="D57" s="7">
        <v>70</v>
      </c>
      <c r="E57" s="12">
        <f t="shared" si="2"/>
        <v>0</v>
      </c>
      <c r="F57" s="12">
        <f t="shared" si="3"/>
        <v>0</v>
      </c>
      <c r="G57" s="12">
        <f t="shared" si="4"/>
        <v>0</v>
      </c>
      <c r="H57" s="12">
        <f t="shared" si="5"/>
        <v>0</v>
      </c>
      <c r="I57" s="12">
        <f t="shared" si="6"/>
        <v>0</v>
      </c>
      <c r="J57" s="12">
        <f t="shared" si="7"/>
        <v>0</v>
      </c>
      <c r="K57" s="12">
        <f t="shared" si="8"/>
        <v>0</v>
      </c>
      <c r="L57" s="12">
        <f t="shared" si="9"/>
        <v>0</v>
      </c>
      <c r="M57" s="12">
        <f t="shared" si="10"/>
        <v>0</v>
      </c>
      <c r="N57" s="12">
        <f t="shared" si="11"/>
        <v>0</v>
      </c>
      <c r="O57" s="12">
        <f t="shared" si="12"/>
        <v>0</v>
      </c>
      <c r="P57" s="12">
        <f t="shared" si="13"/>
        <v>0</v>
      </c>
      <c r="Q57" s="12">
        <f t="shared" si="14"/>
        <v>0</v>
      </c>
      <c r="R57" s="12">
        <f t="shared" si="14"/>
        <v>0</v>
      </c>
      <c r="T57" s="41">
        <v>55707.988838501988</v>
      </c>
      <c r="U57" s="41">
        <v>21677.536231000646</v>
      </c>
      <c r="V57" s="41">
        <v>28104.496253846992</v>
      </c>
      <c r="W57" s="41">
        <v>43269.43616519378</v>
      </c>
      <c r="X57" s="41">
        <v>34751.333114352004</v>
      </c>
      <c r="Y57" s="41">
        <v>49540.740146270204</v>
      </c>
      <c r="Z57" s="41">
        <v>13284.624053020321</v>
      </c>
      <c r="AA57" s="41">
        <v>11547.693137609998</v>
      </c>
      <c r="AB57" s="41">
        <v>28331.302500086331</v>
      </c>
      <c r="AC57" s="41">
        <v>52817.194510011745</v>
      </c>
      <c r="AD57" s="41">
        <v>6509442.8687230404</v>
      </c>
      <c r="AE57" s="41">
        <v>22281.122022165062</v>
      </c>
      <c r="AF57" s="41">
        <v>99720.841479243842</v>
      </c>
      <c r="AG57" s="41">
        <v>41272.859539642821</v>
      </c>
    </row>
  </sheetData>
  <sheetProtection algorithmName="SHA-512" hashValue="9NcX98DuHfTePmK7qDJdnxiRH6RIj878O91M5KXnh+QK41RDXZyAC9CSZ/KB2DNkdnBjpGh0Nuh8ajOWYUarWA==" saltValue="cG57F0F61GNcmU4dsljUww==" spinCount="100000" sheet="1" objects="1" scenarios="1"/>
  <mergeCells count="3">
    <mergeCell ref="D4:M4"/>
    <mergeCell ref="T4:AB4"/>
    <mergeCell ref="A12:B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WorkSheetOverviewSheet"/>
  <dimension ref="A1:CD41"/>
  <sheetViews>
    <sheetView zoomScale="85" zoomScaleNormal="85" workbookViewId="0">
      <selection activeCell="T5" sqref="T5"/>
    </sheetView>
  </sheetViews>
  <sheetFormatPr defaultColWidth="9.140625" defaultRowHeight="15" x14ac:dyDescent="0.25"/>
  <cols>
    <col min="1" max="1" width="13.140625" style="19" customWidth="1"/>
    <col min="2" max="2" width="22.85546875" style="19" customWidth="1"/>
    <col min="3" max="3" width="9.140625" customWidth="1"/>
    <col min="4" max="4" width="30.5703125" bestFit="1" customWidth="1"/>
    <col min="5" max="5" width="27.5703125" customWidth="1"/>
    <col min="6" max="6" width="10.140625" bestFit="1" customWidth="1"/>
    <col min="7" max="7" width="9.140625" customWidth="1"/>
    <col min="8" max="8" width="23.42578125" customWidth="1"/>
    <col min="9" max="9" width="23.42578125" style="3" customWidth="1"/>
    <col min="10" max="10" width="18" style="3" customWidth="1"/>
    <col min="11" max="12" width="16.42578125" style="3" customWidth="1"/>
    <col min="13" max="13" width="15.5703125" customWidth="1"/>
    <col min="14" max="26" width="15.5703125" style="3" customWidth="1"/>
    <col min="27" max="28" width="17.42578125" style="3" customWidth="1"/>
    <col min="29" max="29" width="17.5703125" style="3" customWidth="1"/>
    <col min="30" max="37" width="15.5703125" style="3" customWidth="1"/>
    <col min="39" max="39" width="16.5703125" customWidth="1"/>
    <col min="40" max="41" width="16.5703125" style="3" customWidth="1"/>
    <col min="45" max="46" width="9.140625" style="3"/>
    <col min="48" max="48" width="21.42578125" customWidth="1"/>
    <col min="49" max="49" width="21.42578125" style="3" customWidth="1"/>
    <col min="50" max="50" width="19.28515625" customWidth="1"/>
    <col min="51" max="51" width="19.28515625" style="3" customWidth="1"/>
    <col min="52" max="52" width="15.7109375" customWidth="1"/>
    <col min="53" max="57" width="15.7109375" style="3" customWidth="1"/>
    <col min="59" max="59" width="27" customWidth="1"/>
    <col min="60" max="61" width="27" style="3" customWidth="1"/>
    <col min="62" max="62" width="16.85546875" customWidth="1"/>
    <col min="63" max="63" width="23.7109375" customWidth="1"/>
    <col min="64" max="64" width="14" customWidth="1"/>
    <col min="65" max="66" width="14.5703125" customWidth="1"/>
    <col min="67" max="67" width="17.140625" style="3" customWidth="1"/>
    <col min="68" max="68" width="9.140625" style="3"/>
    <col min="69" max="69" width="16.140625" style="3" customWidth="1"/>
    <col min="70" max="70" width="13.85546875" customWidth="1"/>
    <col min="71" max="71" width="11.85546875" customWidth="1"/>
  </cols>
  <sheetData>
    <row r="1" spans="1:82" x14ac:dyDescent="0.25">
      <c r="A1" s="19" t="s">
        <v>71</v>
      </c>
      <c r="B1" s="19" t="s">
        <v>95</v>
      </c>
    </row>
    <row r="2" spans="1:82" ht="26.25" x14ac:dyDescent="0.4">
      <c r="A2" s="19" t="s">
        <v>73</v>
      </c>
      <c r="B2" s="19">
        <v>1.1000000000000001</v>
      </c>
      <c r="D2" s="6" t="s">
        <v>206</v>
      </c>
    </row>
    <row r="3" spans="1:82" x14ac:dyDescent="0.25">
      <c r="A3" s="19" t="s">
        <v>89</v>
      </c>
      <c r="B3" s="19">
        <v>2</v>
      </c>
    </row>
    <row r="4" spans="1:82" s="3" customFormat="1" ht="18.75" x14ac:dyDescent="0.3">
      <c r="A4" s="19" t="s">
        <v>90</v>
      </c>
      <c r="B4" s="19">
        <v>3</v>
      </c>
      <c r="D4" s="22" t="s">
        <v>85</v>
      </c>
      <c r="E4" s="7"/>
      <c r="F4" s="7"/>
      <c r="H4" s="22" t="s">
        <v>87</v>
      </c>
      <c r="I4" s="22"/>
      <c r="J4" s="22"/>
      <c r="K4" s="7"/>
      <c r="L4" s="7"/>
      <c r="M4" s="7"/>
      <c r="N4" s="7"/>
      <c r="O4" s="7"/>
      <c r="P4" s="7"/>
      <c r="Q4" s="7"/>
      <c r="R4" s="7"/>
      <c r="S4" s="7"/>
      <c r="T4" s="7"/>
      <c r="U4" s="7"/>
      <c r="V4" s="7"/>
      <c r="W4" s="7"/>
      <c r="X4" s="7"/>
      <c r="Y4" s="7"/>
      <c r="Z4" s="7"/>
      <c r="AA4" s="7"/>
      <c r="AB4" s="7"/>
      <c r="AC4" s="7"/>
      <c r="AD4" s="7"/>
      <c r="AE4" s="7"/>
      <c r="AF4" s="7"/>
      <c r="AG4" s="7"/>
      <c r="AH4" s="7"/>
      <c r="AI4" s="7"/>
      <c r="AJ4" s="7"/>
      <c r="AK4" s="7"/>
      <c r="AM4" s="22" t="s">
        <v>88</v>
      </c>
      <c r="AN4" s="22"/>
      <c r="AO4" s="22"/>
      <c r="AP4" s="7"/>
      <c r="AQ4" s="7"/>
      <c r="AR4" s="7"/>
      <c r="AS4" s="7"/>
      <c r="AT4" s="7"/>
      <c r="AU4" s="7"/>
      <c r="AV4" s="7"/>
      <c r="AW4" s="7"/>
      <c r="AX4" s="7"/>
      <c r="AY4" s="7"/>
      <c r="AZ4" s="7"/>
      <c r="BA4" s="7"/>
      <c r="BB4" s="7"/>
      <c r="BC4" s="7"/>
      <c r="BD4" s="7"/>
      <c r="BE4" s="7"/>
      <c r="BG4" s="22" t="s">
        <v>98</v>
      </c>
      <c r="BH4" s="22"/>
      <c r="BI4" s="22"/>
      <c r="BJ4" s="7"/>
      <c r="BP4" s="11"/>
      <c r="BQ4" s="22" t="s">
        <v>204</v>
      </c>
      <c r="BR4" s="7"/>
      <c r="BS4" s="7"/>
      <c r="BT4" s="7"/>
      <c r="BU4" s="7"/>
      <c r="BV4" s="7"/>
    </row>
    <row r="5" spans="1:82" x14ac:dyDescent="0.25">
      <c r="A5" s="19" t="s">
        <v>91</v>
      </c>
      <c r="B5" s="19">
        <v>43</v>
      </c>
      <c r="D5" s="7" t="s">
        <v>81</v>
      </c>
      <c r="E5" s="7" t="s">
        <v>71</v>
      </c>
      <c r="F5" s="7" t="s">
        <v>64</v>
      </c>
      <c r="H5" s="7" t="s">
        <v>195</v>
      </c>
      <c r="I5" s="7" t="s">
        <v>219</v>
      </c>
      <c r="J5" s="7" t="s">
        <v>215</v>
      </c>
      <c r="K5" s="7" t="s">
        <v>271</v>
      </c>
      <c r="L5" s="7" t="s">
        <v>272</v>
      </c>
      <c r="M5" s="7" t="s">
        <v>216</v>
      </c>
      <c r="N5" s="7" t="s">
        <v>217</v>
      </c>
      <c r="O5" s="7" t="s">
        <v>273</v>
      </c>
      <c r="P5" s="7" t="s">
        <v>218</v>
      </c>
      <c r="Q5" s="7" t="s">
        <v>276</v>
      </c>
      <c r="R5" s="7" t="s">
        <v>320</v>
      </c>
      <c r="S5" s="7" t="s">
        <v>319</v>
      </c>
      <c r="T5" s="7" t="s">
        <v>321</v>
      </c>
      <c r="U5" s="7" t="s">
        <v>322</v>
      </c>
      <c r="V5" s="7" t="s">
        <v>323</v>
      </c>
      <c r="W5" s="7" t="s">
        <v>324</v>
      </c>
      <c r="X5" s="7" t="s">
        <v>325</v>
      </c>
      <c r="Y5" s="7" t="s">
        <v>326</v>
      </c>
      <c r="Z5" s="7" t="s">
        <v>375</v>
      </c>
      <c r="AA5" s="7" t="s">
        <v>376</v>
      </c>
      <c r="AB5" s="7" t="s">
        <v>535</v>
      </c>
      <c r="AC5" s="7" t="s">
        <v>536</v>
      </c>
      <c r="AD5" s="7" t="s">
        <v>330</v>
      </c>
      <c r="AE5" s="7" t="s">
        <v>331</v>
      </c>
      <c r="AF5" s="7" t="s">
        <v>537</v>
      </c>
      <c r="AG5" s="7" t="s">
        <v>538</v>
      </c>
      <c r="AH5" s="7" t="s">
        <v>332</v>
      </c>
      <c r="AI5" s="7" t="s">
        <v>333</v>
      </c>
      <c r="AJ5" s="7" t="s">
        <v>384</v>
      </c>
      <c r="AK5" s="7" t="s">
        <v>385</v>
      </c>
      <c r="AM5" s="7" t="s">
        <v>195</v>
      </c>
      <c r="AN5" s="7" t="s">
        <v>220</v>
      </c>
      <c r="AO5" s="7" t="s">
        <v>221</v>
      </c>
      <c r="AP5" s="7" t="s">
        <v>222</v>
      </c>
      <c r="AQ5" s="7" t="s">
        <v>223</v>
      </c>
      <c r="AR5" s="7" t="s">
        <v>224</v>
      </c>
      <c r="AS5" s="7" t="s">
        <v>225</v>
      </c>
      <c r="AT5" s="7" t="s">
        <v>226</v>
      </c>
      <c r="AU5" s="7" t="s">
        <v>227</v>
      </c>
      <c r="AV5" s="7" t="s">
        <v>228</v>
      </c>
      <c r="AW5" s="7" t="s">
        <v>574</v>
      </c>
      <c r="AX5" s="7" t="s">
        <v>575</v>
      </c>
      <c r="AY5" s="7" t="s">
        <v>229</v>
      </c>
      <c r="AZ5" s="7" t="s">
        <v>230</v>
      </c>
      <c r="BA5" s="7" t="s">
        <v>231</v>
      </c>
      <c r="BB5" s="7" t="s">
        <v>572</v>
      </c>
      <c r="BC5" s="7" t="s">
        <v>569</v>
      </c>
      <c r="BD5" s="7" t="s">
        <v>570</v>
      </c>
      <c r="BE5" s="7" t="s">
        <v>232</v>
      </c>
      <c r="BG5" s="7" t="s">
        <v>195</v>
      </c>
      <c r="BH5" s="7" t="s">
        <v>239</v>
      </c>
      <c r="BI5" s="7" t="s">
        <v>240</v>
      </c>
      <c r="BJ5" s="7" t="s">
        <v>233</v>
      </c>
      <c r="BK5" s="7" t="s">
        <v>234</v>
      </c>
      <c r="BL5" s="7" t="s">
        <v>235</v>
      </c>
      <c r="BM5" s="7" t="s">
        <v>236</v>
      </c>
      <c r="BN5" s="7" t="s">
        <v>237</v>
      </c>
      <c r="BO5" s="7" t="s">
        <v>238</v>
      </c>
      <c r="BP5" s="11"/>
      <c r="BQ5" s="7" t="s">
        <v>86</v>
      </c>
      <c r="BR5" s="27" t="s">
        <v>159</v>
      </c>
      <c r="BS5" s="27" t="s">
        <v>12</v>
      </c>
      <c r="BT5" s="27" t="s">
        <v>24</v>
      </c>
      <c r="BU5" s="27" t="s">
        <v>23</v>
      </c>
      <c r="BV5" s="27" t="s">
        <v>1</v>
      </c>
      <c r="BW5" s="27" t="s">
        <v>20</v>
      </c>
      <c r="BX5" s="27" t="s">
        <v>22</v>
      </c>
      <c r="BY5" s="27" t="s">
        <v>21</v>
      </c>
      <c r="BZ5" s="27" t="s">
        <v>19</v>
      </c>
      <c r="CA5" s="27" t="s">
        <v>379</v>
      </c>
      <c r="CB5" s="27" t="s">
        <v>515</v>
      </c>
      <c r="CC5" s="27" t="s">
        <v>521</v>
      </c>
      <c r="CD5" s="27" t="s">
        <v>647</v>
      </c>
    </row>
    <row r="6" spans="1:82" x14ac:dyDescent="0.25">
      <c r="A6" s="19" t="s">
        <v>92</v>
      </c>
      <c r="B6" s="19">
        <v>83</v>
      </c>
      <c r="D6" s="16" t="s">
        <v>197</v>
      </c>
      <c r="E6" s="16" t="s">
        <v>160</v>
      </c>
      <c r="F6" s="16">
        <v>1.1000000000000001</v>
      </c>
      <c r="H6" s="16" t="s">
        <v>335</v>
      </c>
      <c r="I6" s="16" t="s">
        <v>194</v>
      </c>
      <c r="J6" s="5" t="s">
        <v>199</v>
      </c>
      <c r="K6" s="5" t="s">
        <v>673</v>
      </c>
      <c r="L6" s="5" t="s">
        <v>674</v>
      </c>
      <c r="M6" s="5" t="s">
        <v>675</v>
      </c>
      <c r="N6" s="5" t="s">
        <v>676</v>
      </c>
      <c r="O6" s="5" t="s">
        <v>677</v>
      </c>
      <c r="P6" s="5" t="s">
        <v>203</v>
      </c>
      <c r="Q6" s="5" t="s">
        <v>383</v>
      </c>
      <c r="R6" s="5" t="s">
        <v>678</v>
      </c>
      <c r="S6" s="5" t="s">
        <v>679</v>
      </c>
      <c r="T6" s="5" t="s">
        <v>680</v>
      </c>
      <c r="U6" s="5" t="s">
        <v>681</v>
      </c>
      <c r="V6" s="5" t="s">
        <v>682</v>
      </c>
      <c r="W6" s="5" t="s">
        <v>683</v>
      </c>
      <c r="X6" s="5" t="s">
        <v>684</v>
      </c>
      <c r="Y6" s="5" t="s">
        <v>685</v>
      </c>
      <c r="Z6" s="5" t="s">
        <v>686</v>
      </c>
      <c r="AA6" s="5" t="s">
        <v>687</v>
      </c>
      <c r="AB6" s="5" t="s">
        <v>688</v>
      </c>
      <c r="AC6" s="5" t="s">
        <v>689</v>
      </c>
      <c r="AD6" s="5" t="s">
        <v>201</v>
      </c>
      <c r="AE6" s="5" t="s">
        <v>200</v>
      </c>
      <c r="AF6" s="5" t="s">
        <v>334</v>
      </c>
      <c r="AG6" s="5" t="s">
        <v>202</v>
      </c>
      <c r="AH6" s="5" t="s">
        <v>386</v>
      </c>
      <c r="AI6" s="5" t="s">
        <v>387</v>
      </c>
      <c r="AJ6" s="5" t="s">
        <v>539</v>
      </c>
      <c r="AK6" s="5" t="s">
        <v>540</v>
      </c>
      <c r="AM6" s="16" t="s">
        <v>128</v>
      </c>
      <c r="AN6" s="5" t="s">
        <v>558</v>
      </c>
      <c r="AO6" s="5" t="s">
        <v>559</v>
      </c>
      <c r="AP6" s="5" t="s">
        <v>560</v>
      </c>
      <c r="AQ6" s="5" t="s">
        <v>561</v>
      </c>
      <c r="AR6" s="5" t="s">
        <v>562</v>
      </c>
      <c r="AS6" s="5" t="s">
        <v>166</v>
      </c>
      <c r="AT6" s="5" t="s">
        <v>167</v>
      </c>
      <c r="AU6" s="5" t="s">
        <v>563</v>
      </c>
      <c r="AV6" s="5" t="s">
        <v>564</v>
      </c>
      <c r="AW6" s="5" t="s">
        <v>576</v>
      </c>
      <c r="AX6" s="5" t="s">
        <v>577</v>
      </c>
      <c r="AY6" s="5" t="s">
        <v>565</v>
      </c>
      <c r="AZ6" s="5" t="s">
        <v>568</v>
      </c>
      <c r="BA6" s="5" t="s">
        <v>601</v>
      </c>
      <c r="BB6" s="5" t="s">
        <v>593</v>
      </c>
      <c r="BC6" s="5" t="s">
        <v>567</v>
      </c>
      <c r="BD6" s="5" t="s">
        <v>571</v>
      </c>
      <c r="BE6" s="5" t="s">
        <v>566</v>
      </c>
      <c r="BG6" s="16" t="s">
        <v>182</v>
      </c>
      <c r="BH6" s="16" t="s">
        <v>159</v>
      </c>
      <c r="BI6" s="16" t="s">
        <v>106</v>
      </c>
      <c r="BJ6" s="5" t="s">
        <v>104</v>
      </c>
      <c r="BK6" s="5" t="s">
        <v>105</v>
      </c>
      <c r="BL6" s="5" t="s">
        <v>203</v>
      </c>
      <c r="BM6" s="5" t="s">
        <v>516</v>
      </c>
      <c r="BN6" s="5" t="s">
        <v>517</v>
      </c>
      <c r="BO6" s="5" t="s">
        <v>518</v>
      </c>
      <c r="BP6" s="14"/>
      <c r="BQ6" s="32" t="s">
        <v>106</v>
      </c>
      <c r="BR6" s="32" t="s">
        <v>182</v>
      </c>
      <c r="BS6" s="32" t="s">
        <v>247</v>
      </c>
      <c r="BT6" s="32" t="s">
        <v>181</v>
      </c>
      <c r="BU6" s="32" t="s">
        <v>180</v>
      </c>
      <c r="BV6" s="32" t="s">
        <v>179</v>
      </c>
      <c r="BW6" s="32" t="s">
        <v>178</v>
      </c>
      <c r="BX6" s="32" t="s">
        <v>177</v>
      </c>
      <c r="BY6" s="32" t="s">
        <v>176</v>
      </c>
      <c r="BZ6" s="32" t="s">
        <v>175</v>
      </c>
      <c r="CA6" s="32" t="s">
        <v>382</v>
      </c>
      <c r="CB6" s="32" t="s">
        <v>520</v>
      </c>
      <c r="CC6" s="32" t="s">
        <v>525</v>
      </c>
      <c r="CD6" s="32" t="s">
        <v>648</v>
      </c>
    </row>
    <row r="7" spans="1:82" x14ac:dyDescent="0.25">
      <c r="A7" s="19" t="s">
        <v>94</v>
      </c>
      <c r="B7" s="19" t="b">
        <v>0</v>
      </c>
      <c r="D7" s="16" t="s">
        <v>84</v>
      </c>
      <c r="E7" s="16" t="s">
        <v>95</v>
      </c>
      <c r="F7" s="16">
        <v>1.1000000000000001</v>
      </c>
      <c r="H7" s="16" t="s">
        <v>527</v>
      </c>
      <c r="I7" s="16" t="s">
        <v>526</v>
      </c>
      <c r="J7" s="5" t="s">
        <v>199</v>
      </c>
      <c r="K7" s="5" t="s">
        <v>673</v>
      </c>
      <c r="L7" s="5" t="s">
        <v>674</v>
      </c>
      <c r="M7" s="5" t="s">
        <v>675</v>
      </c>
      <c r="N7" s="5" t="s">
        <v>676</v>
      </c>
      <c r="O7" s="5" t="s">
        <v>677</v>
      </c>
      <c r="P7" s="5" t="s">
        <v>203</v>
      </c>
      <c r="Q7" s="5" t="s">
        <v>383</v>
      </c>
      <c r="R7" s="5" t="s">
        <v>678</v>
      </c>
      <c r="S7" s="5" t="s">
        <v>679</v>
      </c>
      <c r="T7" s="5" t="s">
        <v>680</v>
      </c>
      <c r="U7" s="5" t="s">
        <v>681</v>
      </c>
      <c r="V7" s="5" t="s">
        <v>682</v>
      </c>
      <c r="W7" s="5" t="s">
        <v>683</v>
      </c>
      <c r="X7" s="5" t="s">
        <v>684</v>
      </c>
      <c r="Y7" s="5" t="s">
        <v>685</v>
      </c>
      <c r="Z7" s="5" t="s">
        <v>686</v>
      </c>
      <c r="AA7" s="5" t="s">
        <v>687</v>
      </c>
      <c r="AB7" s="5" t="s">
        <v>688</v>
      </c>
      <c r="AC7" s="5" t="s">
        <v>689</v>
      </c>
      <c r="AD7" s="5" t="s">
        <v>201</v>
      </c>
      <c r="AE7" s="5" t="s">
        <v>200</v>
      </c>
      <c r="AF7" s="5" t="s">
        <v>334</v>
      </c>
      <c r="AG7" s="5" t="s">
        <v>202</v>
      </c>
      <c r="AH7" s="5" t="s">
        <v>386</v>
      </c>
      <c r="AI7" s="5" t="s">
        <v>387</v>
      </c>
      <c r="AJ7" s="5" t="s">
        <v>539</v>
      </c>
      <c r="AK7" s="5" t="s">
        <v>540</v>
      </c>
      <c r="AM7" s="16" t="s">
        <v>129</v>
      </c>
      <c r="AN7" s="5" t="s">
        <v>558</v>
      </c>
      <c r="AO7" s="5" t="s">
        <v>559</v>
      </c>
      <c r="AP7" s="5" t="s">
        <v>560</v>
      </c>
      <c r="AQ7" s="5" t="s">
        <v>561</v>
      </c>
      <c r="AR7" s="5" t="s">
        <v>562</v>
      </c>
      <c r="AS7" s="5" t="s">
        <v>166</v>
      </c>
      <c r="AT7" s="5" t="s">
        <v>167</v>
      </c>
      <c r="AU7" s="5" t="s">
        <v>563</v>
      </c>
      <c r="AV7" s="5" t="s">
        <v>564</v>
      </c>
      <c r="AW7" s="5" t="s">
        <v>576</v>
      </c>
      <c r="AX7" s="5" t="s">
        <v>577</v>
      </c>
      <c r="AY7" s="5" t="s">
        <v>565</v>
      </c>
      <c r="AZ7" s="5" t="s">
        <v>568</v>
      </c>
      <c r="BA7" s="5" t="s">
        <v>601</v>
      </c>
      <c r="BB7" s="5" t="s">
        <v>593</v>
      </c>
      <c r="BC7" s="5" t="s">
        <v>567</v>
      </c>
      <c r="BD7" s="5" t="s">
        <v>571</v>
      </c>
      <c r="BE7" s="5" t="s">
        <v>566</v>
      </c>
      <c r="BG7" s="16" t="s">
        <v>247</v>
      </c>
      <c r="BH7" s="16" t="s">
        <v>12</v>
      </c>
      <c r="BI7" s="16" t="s">
        <v>106</v>
      </c>
      <c r="BJ7" s="5" t="s">
        <v>104</v>
      </c>
      <c r="BK7" s="5" t="s">
        <v>105</v>
      </c>
      <c r="BL7" s="5" t="s">
        <v>203</v>
      </c>
      <c r="BM7" s="5" t="s">
        <v>516</v>
      </c>
      <c r="BN7" s="5" t="s">
        <v>517</v>
      </c>
      <c r="BO7" s="5" t="s">
        <v>518</v>
      </c>
      <c r="BP7" s="14"/>
    </row>
    <row r="8" spans="1:82" x14ac:dyDescent="0.25">
      <c r="A8" s="19" t="s">
        <v>96</v>
      </c>
      <c r="B8" s="19" t="b">
        <v>0</v>
      </c>
      <c r="D8" s="16" t="s">
        <v>65</v>
      </c>
      <c r="E8" s="16" t="s">
        <v>100</v>
      </c>
      <c r="F8" s="16">
        <v>1.1000000000000001</v>
      </c>
      <c r="AM8" s="16" t="s">
        <v>130</v>
      </c>
      <c r="AN8" s="5" t="s">
        <v>558</v>
      </c>
      <c r="AO8" s="5" t="s">
        <v>559</v>
      </c>
      <c r="AP8" s="5" t="s">
        <v>560</v>
      </c>
      <c r="AQ8" s="5" t="s">
        <v>561</v>
      </c>
      <c r="AR8" s="5" t="s">
        <v>562</v>
      </c>
      <c r="AS8" s="5" t="s">
        <v>166</v>
      </c>
      <c r="AT8" s="5" t="s">
        <v>167</v>
      </c>
      <c r="AU8" s="5" t="s">
        <v>563</v>
      </c>
      <c r="AV8" s="5" t="s">
        <v>564</v>
      </c>
      <c r="AW8" s="5" t="s">
        <v>576</v>
      </c>
      <c r="AX8" s="5" t="s">
        <v>577</v>
      </c>
      <c r="AY8" s="5" t="s">
        <v>565</v>
      </c>
      <c r="AZ8" s="5" t="s">
        <v>568</v>
      </c>
      <c r="BA8" s="5" t="s">
        <v>601</v>
      </c>
      <c r="BB8" s="5" t="s">
        <v>593</v>
      </c>
      <c r="BC8" s="5" t="s">
        <v>567</v>
      </c>
      <c r="BD8" s="5" t="s">
        <v>571</v>
      </c>
      <c r="BE8" s="5" t="s">
        <v>566</v>
      </c>
      <c r="BG8" s="16" t="s">
        <v>181</v>
      </c>
      <c r="BH8" s="16" t="s">
        <v>24</v>
      </c>
      <c r="BI8" s="16" t="s">
        <v>106</v>
      </c>
      <c r="BJ8" s="5" t="s">
        <v>104</v>
      </c>
      <c r="BK8" s="5" t="s">
        <v>105</v>
      </c>
      <c r="BL8" s="5" t="s">
        <v>203</v>
      </c>
      <c r="BM8" s="5" t="s">
        <v>516</v>
      </c>
      <c r="BN8" s="5" t="s">
        <v>517</v>
      </c>
      <c r="BO8" s="5" t="s">
        <v>518</v>
      </c>
      <c r="BP8" s="11"/>
    </row>
    <row r="9" spans="1:82" x14ac:dyDescent="0.25">
      <c r="A9" s="19" t="s">
        <v>434</v>
      </c>
      <c r="B9" s="42" t="b">
        <v>0</v>
      </c>
      <c r="D9" s="16" t="s">
        <v>428</v>
      </c>
      <c r="E9" s="16" t="s">
        <v>193</v>
      </c>
      <c r="F9" s="16">
        <v>1.1000000000000001</v>
      </c>
      <c r="BG9" s="16" t="s">
        <v>180</v>
      </c>
      <c r="BH9" s="16" t="s">
        <v>23</v>
      </c>
      <c r="BI9" s="16" t="s">
        <v>106</v>
      </c>
      <c r="BJ9" s="5" t="s">
        <v>104</v>
      </c>
      <c r="BK9" s="5" t="s">
        <v>105</v>
      </c>
      <c r="BL9" s="5" t="s">
        <v>203</v>
      </c>
      <c r="BM9" s="5" t="s">
        <v>516</v>
      </c>
      <c r="BN9" s="5" t="s">
        <v>517</v>
      </c>
      <c r="BO9" s="5" t="s">
        <v>518</v>
      </c>
      <c r="BP9" s="11"/>
    </row>
    <row r="10" spans="1:82" x14ac:dyDescent="0.25">
      <c r="D10" s="16" t="s">
        <v>70</v>
      </c>
      <c r="E10" s="16" t="s">
        <v>191</v>
      </c>
      <c r="F10" s="16">
        <v>1.1000000000000001</v>
      </c>
      <c r="BG10" s="16" t="s">
        <v>179</v>
      </c>
      <c r="BH10" s="16" t="s">
        <v>1</v>
      </c>
      <c r="BI10" s="16" t="s">
        <v>106</v>
      </c>
      <c r="BJ10" s="5" t="s">
        <v>104</v>
      </c>
      <c r="BK10" s="5" t="s">
        <v>105</v>
      </c>
      <c r="BL10" s="5" t="s">
        <v>203</v>
      </c>
      <c r="BM10" s="5" t="s">
        <v>516</v>
      </c>
      <c r="BN10" s="5" t="s">
        <v>517</v>
      </c>
      <c r="BO10" s="5" t="s">
        <v>518</v>
      </c>
    </row>
    <row r="11" spans="1:82" x14ac:dyDescent="0.25">
      <c r="D11" s="16" t="s">
        <v>101</v>
      </c>
      <c r="E11" s="16" t="s">
        <v>72</v>
      </c>
      <c r="F11" s="16">
        <v>1.1000000000000001</v>
      </c>
      <c r="BG11" s="16" t="s">
        <v>178</v>
      </c>
      <c r="BH11" s="16" t="s">
        <v>20</v>
      </c>
      <c r="BI11" s="16" t="s">
        <v>106</v>
      </c>
      <c r="BJ11" s="5" t="s">
        <v>104</v>
      </c>
      <c r="BK11" s="5" t="s">
        <v>105</v>
      </c>
      <c r="BL11" s="5" t="s">
        <v>203</v>
      </c>
      <c r="BM11" s="5" t="s">
        <v>516</v>
      </c>
      <c r="BN11" s="5" t="s">
        <v>517</v>
      </c>
      <c r="BO11" s="5" t="s">
        <v>518</v>
      </c>
    </row>
    <row r="12" spans="1:82" x14ac:dyDescent="0.25">
      <c r="D12" s="16" t="s">
        <v>144</v>
      </c>
      <c r="E12" s="16" t="s">
        <v>192</v>
      </c>
      <c r="F12" s="16">
        <v>1.1000000000000001</v>
      </c>
      <c r="BG12" s="16" t="s">
        <v>177</v>
      </c>
      <c r="BH12" s="16" t="s">
        <v>22</v>
      </c>
      <c r="BI12" s="16" t="s">
        <v>106</v>
      </c>
      <c r="BJ12" s="5" t="s">
        <v>104</v>
      </c>
      <c r="BK12" s="5" t="s">
        <v>105</v>
      </c>
      <c r="BL12" s="5" t="s">
        <v>203</v>
      </c>
      <c r="BM12" s="5" t="s">
        <v>516</v>
      </c>
      <c r="BN12" s="5" t="s">
        <v>517</v>
      </c>
      <c r="BO12" s="5" t="s">
        <v>518</v>
      </c>
    </row>
    <row r="13" spans="1:82" x14ac:dyDescent="0.25">
      <c r="D13" s="16" t="s">
        <v>145</v>
      </c>
      <c r="E13" s="16" t="s">
        <v>74</v>
      </c>
      <c r="F13" s="16">
        <v>1.1000000000000001</v>
      </c>
      <c r="BG13" s="16" t="s">
        <v>176</v>
      </c>
      <c r="BH13" s="16" t="s">
        <v>21</v>
      </c>
      <c r="BI13" s="16" t="s">
        <v>106</v>
      </c>
      <c r="BJ13" s="5" t="s">
        <v>104</v>
      </c>
      <c r="BK13" s="5" t="s">
        <v>105</v>
      </c>
      <c r="BL13" s="5" t="s">
        <v>203</v>
      </c>
      <c r="BM13" s="5" t="s">
        <v>516</v>
      </c>
      <c r="BN13" s="5" t="s">
        <v>517</v>
      </c>
      <c r="BO13" s="5" t="s">
        <v>518</v>
      </c>
    </row>
    <row r="14" spans="1:82" x14ac:dyDescent="0.25">
      <c r="D14" s="16" t="s">
        <v>128</v>
      </c>
      <c r="E14" s="16" t="s">
        <v>75</v>
      </c>
      <c r="F14" s="16">
        <v>1.1000000000000001</v>
      </c>
      <c r="BG14" s="16" t="s">
        <v>175</v>
      </c>
      <c r="BH14" s="16" t="s">
        <v>19</v>
      </c>
      <c r="BI14" s="16" t="s">
        <v>106</v>
      </c>
      <c r="BJ14" s="5" t="s">
        <v>104</v>
      </c>
      <c r="BK14" s="5" t="s">
        <v>105</v>
      </c>
      <c r="BL14" s="5" t="s">
        <v>203</v>
      </c>
      <c r="BM14" s="5" t="s">
        <v>516</v>
      </c>
      <c r="BN14" s="5" t="s">
        <v>517</v>
      </c>
      <c r="BO14" s="5" t="s">
        <v>518</v>
      </c>
    </row>
    <row r="15" spans="1:82" x14ac:dyDescent="0.25">
      <c r="D15" s="16" t="s">
        <v>129</v>
      </c>
      <c r="E15" s="16" t="s">
        <v>75</v>
      </c>
      <c r="F15" s="16">
        <v>1.1000000000000001</v>
      </c>
      <c r="BG15" s="16" t="s">
        <v>382</v>
      </c>
      <c r="BH15" s="16" t="s">
        <v>379</v>
      </c>
      <c r="BI15" s="16" t="s">
        <v>106</v>
      </c>
      <c r="BJ15" s="5" t="s">
        <v>104</v>
      </c>
      <c r="BK15" s="5" t="s">
        <v>105</v>
      </c>
      <c r="BL15" s="5" t="s">
        <v>203</v>
      </c>
      <c r="BM15" s="5" t="s">
        <v>516</v>
      </c>
      <c r="BN15" s="5" t="s">
        <v>517</v>
      </c>
      <c r="BO15" s="5" t="s">
        <v>518</v>
      </c>
    </row>
    <row r="16" spans="1:82" x14ac:dyDescent="0.25">
      <c r="D16" s="16" t="s">
        <v>130</v>
      </c>
      <c r="E16" s="16" t="s">
        <v>75</v>
      </c>
      <c r="F16" s="16">
        <v>1.1000000000000001</v>
      </c>
      <c r="BG16" s="16" t="s">
        <v>520</v>
      </c>
      <c r="BH16" s="16" t="s">
        <v>515</v>
      </c>
      <c r="BI16" s="16" t="s">
        <v>106</v>
      </c>
      <c r="BJ16" s="5" t="s">
        <v>104</v>
      </c>
      <c r="BK16" s="5" t="s">
        <v>105</v>
      </c>
      <c r="BL16" s="5" t="s">
        <v>203</v>
      </c>
      <c r="BM16" s="5" t="s">
        <v>516</v>
      </c>
      <c r="BN16" s="5" t="s">
        <v>517</v>
      </c>
      <c r="BO16" s="5" t="s">
        <v>518</v>
      </c>
    </row>
    <row r="17" spans="4:67" x14ac:dyDescent="0.25">
      <c r="D17" s="16" t="s">
        <v>429</v>
      </c>
      <c r="E17" s="16" t="s">
        <v>407</v>
      </c>
      <c r="F17" s="16">
        <v>1.1000000000000001</v>
      </c>
      <c r="BG17" s="16" t="s">
        <v>525</v>
      </c>
      <c r="BH17" s="16" t="s">
        <v>521</v>
      </c>
      <c r="BI17" s="16" t="s">
        <v>106</v>
      </c>
      <c r="BJ17" s="5" t="s">
        <v>104</v>
      </c>
      <c r="BK17" s="5" t="s">
        <v>105</v>
      </c>
      <c r="BL17" s="5" t="s">
        <v>203</v>
      </c>
      <c r="BM17" s="5" t="s">
        <v>516</v>
      </c>
      <c r="BN17" s="5" t="s">
        <v>517</v>
      </c>
      <c r="BO17" s="5" t="s">
        <v>518</v>
      </c>
    </row>
    <row r="18" spans="4:67" x14ac:dyDescent="0.25">
      <c r="D18" s="16" t="s">
        <v>82</v>
      </c>
      <c r="E18" s="16" t="s">
        <v>99</v>
      </c>
      <c r="F18" s="16">
        <v>1.1000000000000001</v>
      </c>
      <c r="BG18" s="16" t="s">
        <v>648</v>
      </c>
      <c r="BH18" s="16" t="s">
        <v>647</v>
      </c>
      <c r="BI18" s="16" t="s">
        <v>106</v>
      </c>
      <c r="BJ18" s="5" t="s">
        <v>104</v>
      </c>
      <c r="BK18" s="5" t="s">
        <v>105</v>
      </c>
      <c r="BL18" s="5" t="s">
        <v>203</v>
      </c>
      <c r="BM18" s="5" t="s">
        <v>516</v>
      </c>
      <c r="BN18" s="5" t="s">
        <v>517</v>
      </c>
      <c r="BO18" s="5" t="s">
        <v>518</v>
      </c>
    </row>
    <row r="19" spans="4:67" x14ac:dyDescent="0.25">
      <c r="D19" s="16" t="s">
        <v>102</v>
      </c>
      <c r="E19" s="16" t="s">
        <v>79</v>
      </c>
      <c r="F19" s="16">
        <v>1.1000000000000001</v>
      </c>
    </row>
    <row r="20" spans="4:67" x14ac:dyDescent="0.25">
      <c r="D20" s="16" t="s">
        <v>103</v>
      </c>
      <c r="E20" s="16" t="s">
        <v>97</v>
      </c>
      <c r="F20" s="16">
        <v>1.1000000000000001</v>
      </c>
    </row>
    <row r="21" spans="4:67" x14ac:dyDescent="0.25">
      <c r="D21" s="16" t="s">
        <v>198</v>
      </c>
      <c r="E21" s="16" t="s">
        <v>134</v>
      </c>
      <c r="F21" s="16">
        <v>1.1000000000000001</v>
      </c>
    </row>
    <row r="22" spans="4:67" x14ac:dyDescent="0.25">
      <c r="D22" s="16" t="s">
        <v>523</v>
      </c>
      <c r="E22" s="16" t="s">
        <v>396</v>
      </c>
      <c r="F22" s="16">
        <v>1.1000000000000001</v>
      </c>
    </row>
    <row r="23" spans="4:67" x14ac:dyDescent="0.25">
      <c r="D23" s="16" t="s">
        <v>214</v>
      </c>
      <c r="E23" s="16" t="s">
        <v>524</v>
      </c>
      <c r="F23" s="16">
        <v>1.1000000000000001</v>
      </c>
    </row>
    <row r="24" spans="4:67" x14ac:dyDescent="0.25">
      <c r="D24" s="16" t="s">
        <v>327</v>
      </c>
      <c r="E24" s="16" t="s">
        <v>138</v>
      </c>
      <c r="F24" s="16">
        <v>1.1000000000000001</v>
      </c>
    </row>
    <row r="25" spans="4:67" x14ac:dyDescent="0.25">
      <c r="D25" s="16" t="s">
        <v>328</v>
      </c>
      <c r="E25" s="16" t="s">
        <v>138</v>
      </c>
      <c r="F25" s="16">
        <v>1.1000000000000001</v>
      </c>
    </row>
    <row r="26" spans="4:67" x14ac:dyDescent="0.25">
      <c r="D26" s="16" t="s">
        <v>329</v>
      </c>
      <c r="E26" s="16" t="s">
        <v>138</v>
      </c>
      <c r="F26" s="16">
        <v>1.1000000000000001</v>
      </c>
    </row>
    <row r="27" spans="4:67" x14ac:dyDescent="0.25">
      <c r="D27" s="16" t="s">
        <v>335</v>
      </c>
      <c r="E27" s="16" t="s">
        <v>77</v>
      </c>
      <c r="F27" s="16">
        <v>1.1000000000000001</v>
      </c>
    </row>
    <row r="28" spans="4:67" x14ac:dyDescent="0.25">
      <c r="D28" s="16" t="s">
        <v>527</v>
      </c>
      <c r="E28" s="16" t="s">
        <v>77</v>
      </c>
      <c r="F28" s="16">
        <v>1.1000000000000001</v>
      </c>
    </row>
    <row r="29" spans="4:67" x14ac:dyDescent="0.25">
      <c r="D29" s="16" t="s">
        <v>83</v>
      </c>
      <c r="E29" s="16" t="s">
        <v>93</v>
      </c>
      <c r="F29" s="16">
        <v>1.1000000000000001</v>
      </c>
    </row>
    <row r="30" spans="4:67" x14ac:dyDescent="0.25">
      <c r="D30" s="16" t="s">
        <v>182</v>
      </c>
      <c r="E30" s="16" t="s">
        <v>80</v>
      </c>
      <c r="F30" s="16">
        <v>1.1000000000000001</v>
      </c>
    </row>
    <row r="31" spans="4:67" x14ac:dyDescent="0.25">
      <c r="D31" s="16" t="s">
        <v>247</v>
      </c>
      <c r="E31" s="16" t="s">
        <v>80</v>
      </c>
      <c r="F31" s="16">
        <v>1.1000000000000001</v>
      </c>
    </row>
    <row r="32" spans="4:67" x14ac:dyDescent="0.25">
      <c r="D32" s="16" t="s">
        <v>181</v>
      </c>
      <c r="E32" s="16" t="s">
        <v>80</v>
      </c>
      <c r="F32" s="16">
        <v>1.1000000000000001</v>
      </c>
    </row>
    <row r="33" spans="4:6" x14ac:dyDescent="0.25">
      <c r="D33" s="16" t="s">
        <v>180</v>
      </c>
      <c r="E33" s="16" t="s">
        <v>80</v>
      </c>
      <c r="F33" s="16">
        <v>1.1000000000000001</v>
      </c>
    </row>
    <row r="34" spans="4:6" x14ac:dyDescent="0.25">
      <c r="D34" s="16" t="s">
        <v>179</v>
      </c>
      <c r="E34" s="16" t="s">
        <v>80</v>
      </c>
      <c r="F34" s="16">
        <v>1.1000000000000001</v>
      </c>
    </row>
    <row r="35" spans="4:6" x14ac:dyDescent="0.25">
      <c r="D35" s="16" t="s">
        <v>178</v>
      </c>
      <c r="E35" s="16" t="s">
        <v>80</v>
      </c>
      <c r="F35" s="16">
        <v>1.1000000000000001</v>
      </c>
    </row>
    <row r="36" spans="4:6" x14ac:dyDescent="0.25">
      <c r="D36" s="16" t="s">
        <v>177</v>
      </c>
      <c r="E36" s="16" t="s">
        <v>80</v>
      </c>
      <c r="F36" s="16">
        <v>1.1000000000000001</v>
      </c>
    </row>
    <row r="37" spans="4:6" x14ac:dyDescent="0.25">
      <c r="D37" s="16" t="s">
        <v>176</v>
      </c>
      <c r="E37" s="16" t="s">
        <v>80</v>
      </c>
      <c r="F37" s="16">
        <v>1.1000000000000001</v>
      </c>
    </row>
    <row r="38" spans="4:6" x14ac:dyDescent="0.25">
      <c r="D38" s="16" t="s">
        <v>175</v>
      </c>
      <c r="E38" s="16" t="s">
        <v>80</v>
      </c>
      <c r="F38" s="16">
        <v>1.1000000000000001</v>
      </c>
    </row>
    <row r="39" spans="4:6" x14ac:dyDescent="0.25">
      <c r="D39" s="16" t="s">
        <v>382</v>
      </c>
      <c r="E39" s="16" t="s">
        <v>80</v>
      </c>
      <c r="F39" s="16">
        <v>1.1000000000000001</v>
      </c>
    </row>
    <row r="40" spans="4:6" x14ac:dyDescent="0.25">
      <c r="D40" s="16" t="s">
        <v>520</v>
      </c>
      <c r="E40" s="16" t="s">
        <v>80</v>
      </c>
      <c r="F40" s="16">
        <v>1.1000000000000001</v>
      </c>
    </row>
    <row r="41" spans="4:6" x14ac:dyDescent="0.25">
      <c r="D41" s="16" t="s">
        <v>525</v>
      </c>
      <c r="E41" s="16" t="s">
        <v>80</v>
      </c>
      <c r="F41" s="16">
        <v>1.1000000000000001</v>
      </c>
    </row>
  </sheetData>
  <dataConsolidate link="1"/>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6849" r:id="rId4" name="Button 1">
              <controlPr defaultSize="0" print="0" autoFill="0" autoPict="0" macro="[0]!LoadWorksheetTables">
                <anchor moveWithCells="1">
                  <from>
                    <xdr:col>5</xdr:col>
                    <xdr:colOff>333375</xdr:colOff>
                    <xdr:row>0</xdr:row>
                    <xdr:rowOff>57150</xdr:rowOff>
                  </from>
                  <to>
                    <xdr:col>7</xdr:col>
                    <xdr:colOff>295275</xdr:colOff>
                    <xdr:row>1</xdr:row>
                    <xdr:rowOff>314325</xdr:rowOff>
                  </to>
                </anchor>
              </controlPr>
            </control>
          </mc:Choice>
        </mc:AlternateContent>
        <mc:AlternateContent xmlns:mc="http://schemas.openxmlformats.org/markup-compatibility/2006">
          <mc:Choice Requires="x14">
            <control shapeId="206850" r:id="rId5" name="Button 2">
              <controlPr defaultSize="0" print="0" autoFill="0" autoPict="0" macro="[0]!RunUpdateReferences">
                <anchor moveWithCells="1">
                  <from>
                    <xdr:col>7</xdr:col>
                    <xdr:colOff>619125</xdr:colOff>
                    <xdr:row>0</xdr:row>
                    <xdr:rowOff>47625</xdr:rowOff>
                  </from>
                  <to>
                    <xdr:col>8</xdr:col>
                    <xdr:colOff>590550</xdr:colOff>
                    <xdr:row>1</xdr:row>
                    <xdr:rowOff>304800</xdr:rowOff>
                  </to>
                </anchor>
              </controlPr>
            </control>
          </mc:Choice>
        </mc:AlternateContent>
      </controls>
    </mc:Choice>
  </mc:AlternateContent>
  <tableParts count="5">
    <tablePart r:id="rId6"/>
    <tablePart r:id="rId7"/>
    <tablePart r:id="rId8"/>
    <tablePart r:id="rId9"/>
    <tablePart r:id="rId10"/>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ettingsSheet"/>
  <dimension ref="A1:AX41"/>
  <sheetViews>
    <sheetView zoomScale="85" zoomScaleNormal="85" workbookViewId="0">
      <selection activeCell="G18" sqref="G18"/>
    </sheetView>
  </sheetViews>
  <sheetFormatPr defaultColWidth="9.140625" defaultRowHeight="15" x14ac:dyDescent="0.25"/>
  <cols>
    <col min="1" max="1" width="23.7109375" style="19" customWidth="1"/>
    <col min="2" max="2" width="16" style="19" customWidth="1"/>
    <col min="3" max="3" width="23.42578125" style="19" customWidth="1"/>
    <col min="4" max="4" width="9.140625" style="19" customWidth="1"/>
    <col min="5" max="5" width="9.140625" customWidth="1"/>
    <col min="6" max="6" width="37.42578125" customWidth="1"/>
    <col min="7" max="7" width="37.28515625" customWidth="1"/>
    <col min="8" max="8" width="8.85546875" customWidth="1"/>
    <col min="9" max="9" width="17.140625" customWidth="1"/>
    <col min="10" max="10" width="3.7109375" customWidth="1"/>
    <col min="11" max="11" width="16.5703125" customWidth="1"/>
    <col min="12" max="13" width="9.140625" customWidth="1"/>
    <col min="14" max="14" width="9.140625" style="11" customWidth="1"/>
    <col min="15" max="15" width="22.42578125" style="11" customWidth="1"/>
    <col min="16" max="16" width="6.42578125" style="11" customWidth="1"/>
    <col min="17" max="17" width="42.28515625" style="11" customWidth="1"/>
    <col min="18" max="18" width="22.42578125" style="11" customWidth="1"/>
    <col min="19" max="22" width="22.42578125" style="316" customWidth="1"/>
    <col min="23" max="23" width="30.28515625" style="316" customWidth="1"/>
    <col min="24" max="26" width="22.42578125" style="316" customWidth="1"/>
    <col min="27" max="28" width="24" style="316" customWidth="1"/>
    <col min="29" max="29" width="23.5703125" style="316" customWidth="1"/>
    <col min="30" max="31" width="27.7109375" style="316" customWidth="1"/>
    <col min="32" max="33" width="22.42578125" style="316" customWidth="1"/>
    <col min="34" max="34" width="45.85546875" style="316" customWidth="1"/>
    <col min="35" max="35" width="12.85546875" style="316" customWidth="1"/>
    <col min="36" max="36" width="9.140625" style="317"/>
    <col min="37" max="37" width="15.140625" customWidth="1"/>
    <col min="38" max="38" width="13.28515625" style="3" customWidth="1"/>
    <col min="39" max="39" width="14.140625" customWidth="1"/>
    <col min="40" max="40" width="36.5703125" customWidth="1"/>
    <col min="41" max="41" width="24.42578125" customWidth="1"/>
    <col min="43" max="43" width="21.28515625" style="3" customWidth="1"/>
    <col min="44" max="44" width="28.85546875" bestFit="1" customWidth="1"/>
    <col min="45" max="45" width="16" style="3" customWidth="1"/>
    <col min="46" max="46" width="8.85546875" customWidth="1"/>
    <col min="47" max="47" width="21.5703125" customWidth="1"/>
    <col min="48" max="48" width="20.5703125" customWidth="1"/>
  </cols>
  <sheetData>
    <row r="1" spans="1:50" x14ac:dyDescent="0.25">
      <c r="A1" s="19" t="s">
        <v>71</v>
      </c>
      <c r="B1" s="19" t="s">
        <v>100</v>
      </c>
      <c r="E1" s="1"/>
      <c r="F1" s="2"/>
    </row>
    <row r="2" spans="1:50" ht="41.25" customHeight="1" x14ac:dyDescent="0.4">
      <c r="A2" s="19" t="s">
        <v>73</v>
      </c>
      <c r="B2" s="19">
        <v>1.1000000000000001</v>
      </c>
      <c r="E2" s="1"/>
      <c r="F2" s="6" t="s">
        <v>14</v>
      </c>
    </row>
    <row r="3" spans="1:50" x14ac:dyDescent="0.25">
      <c r="A3" s="19" t="s">
        <v>89</v>
      </c>
      <c r="B3" s="19">
        <v>1</v>
      </c>
      <c r="E3" s="1"/>
      <c r="F3" s="2"/>
    </row>
    <row r="4" spans="1:50" s="3" customFormat="1" ht="18.75" x14ac:dyDescent="0.3">
      <c r="A4" s="19" t="s">
        <v>90</v>
      </c>
      <c r="B4" s="19">
        <v>5</v>
      </c>
      <c r="C4" s="19"/>
      <c r="D4" s="19"/>
      <c r="E4" s="1"/>
      <c r="F4" s="338" t="s">
        <v>110</v>
      </c>
      <c r="G4" s="338"/>
      <c r="I4" s="7" t="s">
        <v>17</v>
      </c>
      <c r="K4" s="338" t="s">
        <v>18</v>
      </c>
      <c r="L4" s="338"/>
      <c r="M4" s="338"/>
      <c r="N4" s="17"/>
      <c r="O4" s="17"/>
      <c r="P4" s="17"/>
      <c r="Q4" s="47" t="s">
        <v>277</v>
      </c>
      <c r="R4" s="47"/>
      <c r="S4" s="318"/>
      <c r="T4" s="318"/>
      <c r="U4" s="318"/>
      <c r="V4" s="318"/>
      <c r="W4" s="318"/>
      <c r="X4" s="318"/>
      <c r="Y4" s="318"/>
      <c r="Z4" s="318"/>
      <c r="AA4" s="318"/>
      <c r="AB4" s="318"/>
      <c r="AC4" s="318"/>
      <c r="AD4" s="318"/>
      <c r="AE4" s="318"/>
      <c r="AF4" s="318"/>
      <c r="AG4" s="318"/>
      <c r="AH4" s="318"/>
      <c r="AI4" s="318"/>
      <c r="AJ4" s="318"/>
      <c r="AL4" s="22" t="s">
        <v>211</v>
      </c>
      <c r="AM4" s="22"/>
      <c r="AN4" s="7"/>
      <c r="AO4" s="7"/>
      <c r="AP4" s="7"/>
      <c r="AQ4" s="7"/>
      <c r="AR4" s="7"/>
      <c r="AS4" s="7"/>
      <c r="AU4" s="22" t="s">
        <v>336</v>
      </c>
      <c r="AV4" s="22"/>
      <c r="AW4" s="22"/>
      <c r="AX4" s="22"/>
    </row>
    <row r="5" spans="1:50" s="76" customFormat="1" ht="16.5" customHeight="1" x14ac:dyDescent="0.25">
      <c r="A5" s="64" t="s">
        <v>91</v>
      </c>
      <c r="B5" s="64">
        <v>34</v>
      </c>
      <c r="C5" s="78"/>
      <c r="D5" s="64"/>
      <c r="E5" s="79"/>
      <c r="F5" s="50" t="s">
        <v>115</v>
      </c>
      <c r="G5" s="84" t="s">
        <v>131</v>
      </c>
      <c r="I5" s="61" t="s">
        <v>4</v>
      </c>
      <c r="K5" s="57" t="s">
        <v>15</v>
      </c>
      <c r="L5" s="57" t="s">
        <v>16</v>
      </c>
      <c r="M5" s="57" t="s">
        <v>17</v>
      </c>
      <c r="N5" s="67"/>
      <c r="O5" s="77" t="s">
        <v>252</v>
      </c>
      <c r="P5" s="67"/>
      <c r="Q5" s="77" t="s">
        <v>263</v>
      </c>
      <c r="R5" s="77" t="s">
        <v>404</v>
      </c>
      <c r="S5" s="319" t="s">
        <v>662</v>
      </c>
      <c r="T5" s="319" t="s">
        <v>267</v>
      </c>
      <c r="U5" s="319" t="s">
        <v>658</v>
      </c>
      <c r="V5" s="319" t="s">
        <v>659</v>
      </c>
      <c r="W5" s="319" t="s">
        <v>268</v>
      </c>
      <c r="X5" s="319" t="s">
        <v>269</v>
      </c>
      <c r="Y5" s="319" t="s">
        <v>270</v>
      </c>
      <c r="Z5" s="319" t="s">
        <v>405</v>
      </c>
      <c r="AA5" s="319" t="s">
        <v>651</v>
      </c>
      <c r="AB5" s="319" t="s">
        <v>654</v>
      </c>
      <c r="AC5" s="319" t="s">
        <v>533</v>
      </c>
      <c r="AD5" s="319" t="s">
        <v>534</v>
      </c>
      <c r="AE5" s="315" t="s">
        <v>53</v>
      </c>
      <c r="AF5" s="315" t="s">
        <v>48</v>
      </c>
      <c r="AG5" s="315" t="s">
        <v>49</v>
      </c>
      <c r="AH5" s="315" t="s">
        <v>50</v>
      </c>
      <c r="AI5" s="315" t="s">
        <v>17</v>
      </c>
      <c r="AJ5" s="320" t="s">
        <v>117</v>
      </c>
      <c r="AL5" s="57" t="s">
        <v>278</v>
      </c>
      <c r="AM5" s="57" t="s">
        <v>111</v>
      </c>
      <c r="AN5" s="57" t="s">
        <v>86</v>
      </c>
      <c r="AO5" s="57" t="s">
        <v>112</v>
      </c>
      <c r="AP5" s="57" t="s">
        <v>76</v>
      </c>
      <c r="AQ5" s="57" t="s">
        <v>113</v>
      </c>
      <c r="AR5" s="57" t="s">
        <v>114</v>
      </c>
      <c r="AS5" s="57" t="s">
        <v>210</v>
      </c>
      <c r="AU5" s="57" t="s">
        <v>196</v>
      </c>
      <c r="AV5" s="57" t="s">
        <v>128</v>
      </c>
      <c r="AW5" s="57" t="s">
        <v>129</v>
      </c>
      <c r="AX5" s="57" t="s">
        <v>130</v>
      </c>
    </row>
    <row r="6" spans="1:50" s="3" customFormat="1" x14ac:dyDescent="0.25">
      <c r="A6" s="19" t="s">
        <v>92</v>
      </c>
      <c r="B6" s="19">
        <v>53</v>
      </c>
      <c r="C6" s="19"/>
      <c r="D6" s="19"/>
      <c r="E6" s="1"/>
      <c r="F6" s="28"/>
      <c r="G6" s="28"/>
      <c r="I6" s="5" t="s">
        <v>13</v>
      </c>
      <c r="K6" s="5" t="s">
        <v>5</v>
      </c>
      <c r="L6" s="5" t="s">
        <v>19</v>
      </c>
      <c r="M6" s="5" t="s">
        <v>4</v>
      </c>
      <c r="N6" s="14"/>
      <c r="O6" s="21" t="s">
        <v>253</v>
      </c>
      <c r="P6" s="14"/>
      <c r="Q6" s="48" t="s">
        <v>541</v>
      </c>
      <c r="R6" s="21" t="s">
        <v>44</v>
      </c>
      <c r="S6" s="321">
        <v>1</v>
      </c>
      <c r="T6" s="321">
        <v>0</v>
      </c>
      <c r="U6" s="321">
        <v>0</v>
      </c>
      <c r="V6" s="321">
        <v>0</v>
      </c>
      <c r="W6" s="321">
        <v>0</v>
      </c>
      <c r="X6" s="321">
        <v>0</v>
      </c>
      <c r="Y6" s="321">
        <v>0</v>
      </c>
      <c r="Z6" s="321">
        <v>0</v>
      </c>
      <c r="AA6" s="321">
        <v>0</v>
      </c>
      <c r="AB6" s="321">
        <v>0</v>
      </c>
      <c r="AC6" s="321">
        <v>0</v>
      </c>
      <c r="AD6" s="321">
        <v>0</v>
      </c>
      <c r="AE6" s="321">
        <v>0</v>
      </c>
      <c r="AF6" s="4" t="s">
        <v>27</v>
      </c>
      <c r="AG6" s="322"/>
      <c r="AH6" s="21"/>
      <c r="AI6" s="322"/>
      <c r="AJ6" s="322"/>
      <c r="AL6" s="8">
        <f>ROW()-ROW(tblListSimulationSpecs[[#Headers],[SimulationNo]])</f>
        <v>1</v>
      </c>
      <c r="AM6" s="10" t="s">
        <v>131</v>
      </c>
      <c r="AN6" s="10" t="s">
        <v>194</v>
      </c>
      <c r="AO6" s="10" t="s">
        <v>194</v>
      </c>
      <c r="AP6" s="10" t="s">
        <v>128</v>
      </c>
      <c r="AQ6" s="10" t="s">
        <v>106</v>
      </c>
      <c r="AR6" s="10" t="b">
        <v>1</v>
      </c>
      <c r="AS6" s="10"/>
      <c r="AU6" s="35" t="s">
        <v>194</v>
      </c>
      <c r="AV6" s="35">
        <v>1</v>
      </c>
      <c r="AW6" s="35">
        <v>3</v>
      </c>
      <c r="AX6" s="35">
        <v>5</v>
      </c>
    </row>
    <row r="7" spans="1:50" s="3" customFormat="1" x14ac:dyDescent="0.25">
      <c r="A7" s="19" t="s">
        <v>94</v>
      </c>
      <c r="B7" s="19" t="b">
        <v>0</v>
      </c>
      <c r="F7" s="7" t="s">
        <v>108</v>
      </c>
      <c r="G7" s="46" t="str">
        <f>INDEX(tblListSimulationSpecs[MarketScenario],ActiveSimulationIndex)</f>
        <v>Baseline</v>
      </c>
      <c r="I7" s="10" t="s">
        <v>261</v>
      </c>
      <c r="K7" s="5" t="s">
        <v>6</v>
      </c>
      <c r="L7" s="5" t="s">
        <v>21</v>
      </c>
      <c r="M7" s="5" t="s">
        <v>4</v>
      </c>
      <c r="N7" s="14"/>
      <c r="O7" s="21" t="s">
        <v>254</v>
      </c>
      <c r="P7" s="14"/>
      <c r="Q7" s="48" t="s">
        <v>257</v>
      </c>
      <c r="R7" s="21" t="s">
        <v>44</v>
      </c>
      <c r="S7" s="321">
        <v>0</v>
      </c>
      <c r="T7" s="321">
        <v>1</v>
      </c>
      <c r="U7" s="321">
        <v>0</v>
      </c>
      <c r="V7" s="321">
        <v>0</v>
      </c>
      <c r="W7" s="321">
        <v>0</v>
      </c>
      <c r="X7" s="321">
        <v>0</v>
      </c>
      <c r="Y7" s="321">
        <v>0</v>
      </c>
      <c r="Z7" s="321">
        <v>0</v>
      </c>
      <c r="AA7" s="321">
        <v>0</v>
      </c>
      <c r="AB7" s="321">
        <v>0</v>
      </c>
      <c r="AC7" s="321">
        <v>0</v>
      </c>
      <c r="AD7" s="321">
        <v>0</v>
      </c>
      <c r="AE7" s="321">
        <v>0</v>
      </c>
      <c r="AF7" s="4" t="s">
        <v>27</v>
      </c>
      <c r="AG7" s="322"/>
      <c r="AH7" s="21"/>
      <c r="AI7" s="322"/>
      <c r="AJ7" s="322"/>
      <c r="AL7" s="8">
        <f>ROW()-ROW(tblListSimulationSpecs[[#Headers],[SimulationNo]])</f>
        <v>2</v>
      </c>
      <c r="AM7" s="10" t="s">
        <v>528</v>
      </c>
      <c r="AN7" s="10" t="s">
        <v>526</v>
      </c>
      <c r="AO7" s="10" t="s">
        <v>526</v>
      </c>
      <c r="AP7" s="10" t="s">
        <v>128</v>
      </c>
      <c r="AQ7" s="10" t="s">
        <v>106</v>
      </c>
      <c r="AR7" s="10" t="b">
        <v>1</v>
      </c>
      <c r="AS7" s="10"/>
      <c r="AU7" s="35" t="s">
        <v>526</v>
      </c>
      <c r="AV7" s="35">
        <v>2</v>
      </c>
      <c r="AW7" s="35">
        <v>4</v>
      </c>
      <c r="AX7" s="35">
        <v>6</v>
      </c>
    </row>
    <row r="8" spans="1:50" s="3" customFormat="1" x14ac:dyDescent="0.25">
      <c r="A8" s="19" t="s">
        <v>96</v>
      </c>
      <c r="B8" s="19" t="b">
        <v>1</v>
      </c>
      <c r="C8" s="73" t="s">
        <v>243</v>
      </c>
      <c r="D8" s="25">
        <f>MATCH(ActiveMemberSheet,ListMemberSheets,0)</f>
        <v>1</v>
      </c>
      <c r="E8" s="1"/>
      <c r="F8" s="7" t="s">
        <v>76</v>
      </c>
      <c r="G8" s="31" t="str">
        <f>INDEX(tblListSimulationSpecs[Member],ActiveSimulationIndex)</f>
        <v>4.1. Member 35y YTR</v>
      </c>
      <c r="I8" s="10" t="s">
        <v>377</v>
      </c>
      <c r="K8" s="5" t="s">
        <v>7</v>
      </c>
      <c r="L8" s="5" t="s">
        <v>22</v>
      </c>
      <c r="M8" s="5" t="s">
        <v>4</v>
      </c>
      <c r="N8" s="14"/>
      <c r="O8" s="21" t="s">
        <v>353</v>
      </c>
      <c r="P8" s="14"/>
      <c r="Q8" s="80" t="s">
        <v>652</v>
      </c>
      <c r="R8" s="21" t="s">
        <v>44</v>
      </c>
      <c r="S8" s="321">
        <v>0</v>
      </c>
      <c r="T8" s="321">
        <v>0</v>
      </c>
      <c r="U8" s="321">
        <v>1</v>
      </c>
      <c r="V8" s="321">
        <v>0</v>
      </c>
      <c r="W8" s="321">
        <v>0</v>
      </c>
      <c r="X8" s="321">
        <v>0</v>
      </c>
      <c r="Y8" s="321">
        <v>0</v>
      </c>
      <c r="Z8" s="321">
        <v>0</v>
      </c>
      <c r="AA8" s="321">
        <v>0</v>
      </c>
      <c r="AB8" s="321">
        <v>0</v>
      </c>
      <c r="AC8" s="321">
        <v>0</v>
      </c>
      <c r="AD8" s="321">
        <v>0</v>
      </c>
      <c r="AE8" s="321">
        <v>0</v>
      </c>
      <c r="AF8" s="4" t="s">
        <v>27</v>
      </c>
      <c r="AG8" s="322"/>
      <c r="AH8" s="21"/>
      <c r="AI8" s="322"/>
      <c r="AJ8" s="322"/>
      <c r="AL8" s="8">
        <f>ROW()-ROW(tblListSimulationSpecs[[#Headers],[SimulationNo]])</f>
        <v>3</v>
      </c>
      <c r="AM8" s="10" t="s">
        <v>132</v>
      </c>
      <c r="AN8" s="10" t="s">
        <v>194</v>
      </c>
      <c r="AO8" s="10" t="s">
        <v>194</v>
      </c>
      <c r="AP8" s="10" t="s">
        <v>129</v>
      </c>
      <c r="AQ8" s="10" t="s">
        <v>106</v>
      </c>
      <c r="AR8" s="10" t="b">
        <v>1</v>
      </c>
      <c r="AS8" s="10"/>
      <c r="AU8" s="35" t="s">
        <v>450</v>
      </c>
      <c r="AV8" s="35">
        <v>7</v>
      </c>
      <c r="AW8" s="35">
        <v>8</v>
      </c>
      <c r="AX8" s="35">
        <v>9</v>
      </c>
    </row>
    <row r="9" spans="1:50" s="3" customFormat="1" x14ac:dyDescent="0.25">
      <c r="A9" s="19" t="s">
        <v>434</v>
      </c>
      <c r="B9" s="42" t="b">
        <v>0</v>
      </c>
      <c r="C9" s="19"/>
      <c r="E9" s="1"/>
      <c r="F9" s="30" t="s">
        <v>107</v>
      </c>
      <c r="G9" s="46" t="str">
        <f>INDEX(tblListSimulationSpecs[LifeExpScenario],ActiveSimulationIndex)</f>
        <v>Base</v>
      </c>
      <c r="I9" s="5" t="s">
        <v>519</v>
      </c>
      <c r="K9" s="5" t="s">
        <v>8</v>
      </c>
      <c r="L9" s="5" t="s">
        <v>20</v>
      </c>
      <c r="M9" s="5" t="s">
        <v>4</v>
      </c>
      <c r="N9" s="14"/>
      <c r="O9" s="21" t="s">
        <v>255</v>
      </c>
      <c r="P9" s="14"/>
      <c r="Q9" s="80" t="s">
        <v>262</v>
      </c>
      <c r="R9" s="21" t="s">
        <v>44</v>
      </c>
      <c r="S9" s="321">
        <v>0</v>
      </c>
      <c r="T9" s="321">
        <v>0</v>
      </c>
      <c r="U9" s="321">
        <v>0</v>
      </c>
      <c r="V9" s="321">
        <v>1</v>
      </c>
      <c r="W9" s="321">
        <v>0</v>
      </c>
      <c r="X9" s="321">
        <v>0</v>
      </c>
      <c r="Y9" s="321">
        <v>0</v>
      </c>
      <c r="Z9" s="321">
        <v>0</v>
      </c>
      <c r="AA9" s="321">
        <v>0</v>
      </c>
      <c r="AB9" s="321">
        <v>0</v>
      </c>
      <c r="AC9" s="321">
        <v>0</v>
      </c>
      <c r="AD9" s="321">
        <v>0</v>
      </c>
      <c r="AE9" s="321">
        <v>0</v>
      </c>
      <c r="AF9" s="4" t="s">
        <v>27</v>
      </c>
      <c r="AG9" s="322"/>
      <c r="AH9" s="21"/>
      <c r="AI9" s="322"/>
      <c r="AJ9" s="322"/>
      <c r="AL9" s="8">
        <f>ROW()-ROW(tblListSimulationSpecs[[#Headers],[SimulationNo]])</f>
        <v>4</v>
      </c>
      <c r="AM9" s="10" t="s">
        <v>530</v>
      </c>
      <c r="AN9" s="10" t="s">
        <v>526</v>
      </c>
      <c r="AO9" s="10" t="s">
        <v>526</v>
      </c>
      <c r="AP9" s="10" t="s">
        <v>129</v>
      </c>
      <c r="AQ9" s="10" t="s">
        <v>106</v>
      </c>
      <c r="AR9" s="10" t="b">
        <v>1</v>
      </c>
      <c r="AS9" s="10"/>
      <c r="AV9"/>
      <c r="AW9"/>
      <c r="AX9"/>
    </row>
    <row r="10" spans="1:50" s="3" customFormat="1" x14ac:dyDescent="0.25">
      <c r="A10" s="19"/>
      <c r="B10" s="19"/>
      <c r="C10" s="19"/>
      <c r="D10" s="19" t="b">
        <v>0</v>
      </c>
      <c r="E10" s="1"/>
      <c r="F10" s="33" t="s">
        <v>109</v>
      </c>
      <c r="G10" s="46" t="b">
        <f>INDEX(tblListSimulationSpecs[IncludingCosts],ActiveSimulationIndex)</f>
        <v>1</v>
      </c>
      <c r="K10" s="5" t="s">
        <v>9</v>
      </c>
      <c r="L10" s="5" t="s">
        <v>1</v>
      </c>
      <c r="M10" s="5" t="s">
        <v>4</v>
      </c>
      <c r="N10" s="14"/>
      <c r="O10" s="14"/>
      <c r="P10" s="14"/>
      <c r="Q10" s="81" t="s">
        <v>258</v>
      </c>
      <c r="R10" s="21" t="s">
        <v>264</v>
      </c>
      <c r="S10" s="321">
        <v>0</v>
      </c>
      <c r="T10" s="321">
        <v>0</v>
      </c>
      <c r="U10" s="321">
        <v>0</v>
      </c>
      <c r="V10" s="321">
        <v>0</v>
      </c>
      <c r="W10" s="321">
        <v>1</v>
      </c>
      <c r="X10" s="321">
        <v>0</v>
      </c>
      <c r="Y10" s="321">
        <v>0</v>
      </c>
      <c r="Z10" s="321">
        <v>0</v>
      </c>
      <c r="AA10" s="321">
        <v>0</v>
      </c>
      <c r="AB10" s="321">
        <v>0</v>
      </c>
      <c r="AC10" s="321">
        <v>0</v>
      </c>
      <c r="AD10" s="321">
        <v>0</v>
      </c>
      <c r="AE10" s="321">
        <v>0</v>
      </c>
      <c r="AF10" s="4" t="s">
        <v>27</v>
      </c>
      <c r="AG10" s="322"/>
      <c r="AH10" s="21"/>
      <c r="AI10" s="322"/>
      <c r="AJ10" s="322"/>
      <c r="AL10" s="8">
        <f>ROW()-ROW(tblListSimulationSpecs[[#Headers],[SimulationNo]])</f>
        <v>5</v>
      </c>
      <c r="AM10" s="10" t="s">
        <v>133</v>
      </c>
      <c r="AN10" s="10" t="s">
        <v>194</v>
      </c>
      <c r="AO10" s="10" t="s">
        <v>194</v>
      </c>
      <c r="AP10" s="10" t="s">
        <v>130</v>
      </c>
      <c r="AQ10" s="10" t="s">
        <v>106</v>
      </c>
      <c r="AR10" s="10" t="b">
        <v>1</v>
      </c>
      <c r="AS10" s="10"/>
      <c r="AV10"/>
      <c r="AW10"/>
      <c r="AX10"/>
    </row>
    <row r="11" spans="1:50" s="3" customFormat="1" x14ac:dyDescent="0.25">
      <c r="A11" s="19"/>
      <c r="B11" s="19"/>
      <c r="C11" s="19"/>
      <c r="D11" s="19"/>
      <c r="E11" s="1"/>
      <c r="F11" s="9"/>
      <c r="G11" s="9"/>
      <c r="K11" s="5" t="s">
        <v>10</v>
      </c>
      <c r="L11" s="5" t="s">
        <v>23</v>
      </c>
      <c r="M11" s="5" t="s">
        <v>4</v>
      </c>
      <c r="N11" s="14"/>
      <c r="O11" s="14"/>
      <c r="P11" s="14"/>
      <c r="Q11" s="81" t="s">
        <v>259</v>
      </c>
      <c r="R11" s="21" t="s">
        <v>264</v>
      </c>
      <c r="S11" s="321">
        <v>0</v>
      </c>
      <c r="T11" s="321">
        <v>0</v>
      </c>
      <c r="U11" s="321">
        <v>0</v>
      </c>
      <c r="V11" s="321">
        <v>0</v>
      </c>
      <c r="W11" s="321">
        <v>0</v>
      </c>
      <c r="X11" s="321">
        <v>1</v>
      </c>
      <c r="Y11" s="321">
        <v>0</v>
      </c>
      <c r="Z11" s="321">
        <v>0</v>
      </c>
      <c r="AA11" s="321">
        <v>0</v>
      </c>
      <c r="AB11" s="321">
        <v>0</v>
      </c>
      <c r="AC11" s="321">
        <v>0</v>
      </c>
      <c r="AD11" s="321">
        <v>0</v>
      </c>
      <c r="AE11" s="321">
        <v>0</v>
      </c>
      <c r="AF11" s="4" t="s">
        <v>27</v>
      </c>
      <c r="AG11" s="322"/>
      <c r="AH11" s="21"/>
      <c r="AI11" s="322"/>
      <c r="AJ11" s="322"/>
      <c r="AL11" s="8">
        <f>ROW()-ROW(tblListSimulationSpecs[[#Headers],[SimulationNo]])</f>
        <v>6</v>
      </c>
      <c r="AM11" s="10" t="s">
        <v>529</v>
      </c>
      <c r="AN11" s="10" t="s">
        <v>526</v>
      </c>
      <c r="AO11" s="10" t="s">
        <v>526</v>
      </c>
      <c r="AP11" s="10" t="s">
        <v>130</v>
      </c>
      <c r="AQ11" s="10" t="s">
        <v>106</v>
      </c>
      <c r="AR11" s="10" t="b">
        <v>1</v>
      </c>
      <c r="AS11" s="10"/>
      <c r="AV11"/>
      <c r="AW11"/>
      <c r="AX11"/>
    </row>
    <row r="12" spans="1:50" x14ac:dyDescent="0.25">
      <c r="E12" s="1"/>
      <c r="F12" s="33" t="s">
        <v>124</v>
      </c>
      <c r="G12" s="20">
        <v>0</v>
      </c>
      <c r="I12" s="3"/>
      <c r="K12" s="5" t="s">
        <v>11</v>
      </c>
      <c r="L12" s="5" t="s">
        <v>24</v>
      </c>
      <c r="M12" s="5" t="s">
        <v>4</v>
      </c>
      <c r="N12" s="14"/>
      <c r="O12" s="14"/>
      <c r="P12" s="14"/>
      <c r="Q12" s="81" t="s">
        <v>260</v>
      </c>
      <c r="R12" s="21" t="s">
        <v>264</v>
      </c>
      <c r="S12" s="321">
        <v>0</v>
      </c>
      <c r="T12" s="321">
        <v>0</v>
      </c>
      <c r="U12" s="321">
        <v>0</v>
      </c>
      <c r="V12" s="321">
        <v>0</v>
      </c>
      <c r="W12" s="321">
        <v>0</v>
      </c>
      <c r="X12" s="321">
        <v>0</v>
      </c>
      <c r="Y12" s="321">
        <v>1</v>
      </c>
      <c r="Z12" s="321">
        <v>0</v>
      </c>
      <c r="AA12" s="321">
        <v>0</v>
      </c>
      <c r="AB12" s="321">
        <v>0</v>
      </c>
      <c r="AC12" s="321">
        <v>0</v>
      </c>
      <c r="AD12" s="321">
        <v>0</v>
      </c>
      <c r="AE12" s="321">
        <v>0</v>
      </c>
      <c r="AF12" s="4" t="s">
        <v>27</v>
      </c>
      <c r="AG12" s="322"/>
      <c r="AH12" s="21"/>
      <c r="AI12" s="322"/>
      <c r="AJ12" s="322"/>
      <c r="AL12" s="8">
        <f>ROW()-ROW(tblListSimulationSpecs[[#Headers],[SimulationNo]])</f>
        <v>7</v>
      </c>
      <c r="AM12" s="10" t="s">
        <v>437</v>
      </c>
      <c r="AN12" s="10" t="s">
        <v>450</v>
      </c>
      <c r="AO12" s="10" t="s">
        <v>194</v>
      </c>
      <c r="AP12" s="10" t="s">
        <v>128</v>
      </c>
      <c r="AQ12" s="10" t="s">
        <v>106</v>
      </c>
      <c r="AR12" s="10" t="b">
        <v>0</v>
      </c>
      <c r="AS12" s="10"/>
    </row>
    <row r="13" spans="1:50" x14ac:dyDescent="0.25">
      <c r="F13" s="34" t="s">
        <v>244</v>
      </c>
      <c r="G13" s="5">
        <v>0</v>
      </c>
      <c r="K13" s="10" t="s">
        <v>40</v>
      </c>
      <c r="L13" s="10" t="s">
        <v>12</v>
      </c>
      <c r="M13" s="10" t="s">
        <v>13</v>
      </c>
      <c r="N13" s="14"/>
      <c r="O13" s="14"/>
      <c r="P13" s="14"/>
      <c r="Q13" s="81" t="s">
        <v>373</v>
      </c>
      <c r="R13" s="21" t="s">
        <v>265</v>
      </c>
      <c r="S13" s="321">
        <v>0</v>
      </c>
      <c r="T13" s="321">
        <v>0</v>
      </c>
      <c r="U13" s="321">
        <v>0</v>
      </c>
      <c r="V13" s="321">
        <v>0</v>
      </c>
      <c r="W13" s="321">
        <v>0</v>
      </c>
      <c r="X13" s="321">
        <v>0</v>
      </c>
      <c r="Y13" s="321">
        <v>0</v>
      </c>
      <c r="Z13" s="321">
        <v>1</v>
      </c>
      <c r="AA13" s="321">
        <v>0</v>
      </c>
      <c r="AB13" s="321">
        <v>0</v>
      </c>
      <c r="AC13" s="321">
        <v>0</v>
      </c>
      <c r="AD13" s="321">
        <v>0</v>
      </c>
      <c r="AE13" s="321">
        <v>0</v>
      </c>
      <c r="AF13" s="4" t="s">
        <v>27</v>
      </c>
      <c r="AG13" s="322"/>
      <c r="AH13" s="21"/>
      <c r="AI13" s="322"/>
      <c r="AJ13" s="322"/>
      <c r="AL13" s="8">
        <f>ROW()-ROW(tblListSimulationSpecs[[#Headers],[SimulationNo]])</f>
        <v>8</v>
      </c>
      <c r="AM13" s="10" t="s">
        <v>438</v>
      </c>
      <c r="AN13" s="10" t="s">
        <v>450</v>
      </c>
      <c r="AO13" s="10" t="s">
        <v>194</v>
      </c>
      <c r="AP13" s="10" t="s">
        <v>129</v>
      </c>
      <c r="AQ13" s="10" t="s">
        <v>106</v>
      </c>
      <c r="AR13" s="10" t="b">
        <v>0</v>
      </c>
      <c r="AS13" s="10"/>
    </row>
    <row r="14" spans="1:50" x14ac:dyDescent="0.25">
      <c r="F14" s="7"/>
      <c r="G14" s="7"/>
      <c r="K14" s="10" t="s">
        <v>158</v>
      </c>
      <c r="L14" s="10" t="s">
        <v>159</v>
      </c>
      <c r="M14" s="10" t="s">
        <v>4</v>
      </c>
      <c r="N14" s="14"/>
      <c r="O14" s="14"/>
      <c r="P14" s="14"/>
      <c r="Q14" s="81" t="s">
        <v>650</v>
      </c>
      <c r="R14" s="21" t="s">
        <v>265</v>
      </c>
      <c r="S14" s="321">
        <v>0</v>
      </c>
      <c r="T14" s="321">
        <v>0</v>
      </c>
      <c r="U14" s="321">
        <v>0</v>
      </c>
      <c r="V14" s="321">
        <v>0</v>
      </c>
      <c r="W14" s="321">
        <v>0</v>
      </c>
      <c r="X14" s="321">
        <v>0</v>
      </c>
      <c r="Y14" s="321">
        <v>0</v>
      </c>
      <c r="Z14" s="321">
        <v>0</v>
      </c>
      <c r="AA14" s="321">
        <v>1</v>
      </c>
      <c r="AB14" s="321">
        <v>0</v>
      </c>
      <c r="AC14" s="321">
        <v>0</v>
      </c>
      <c r="AD14" s="321">
        <v>0</v>
      </c>
      <c r="AE14" s="321">
        <v>0</v>
      </c>
      <c r="AF14" s="4" t="s">
        <v>27</v>
      </c>
      <c r="AG14" s="322"/>
      <c r="AH14" s="21"/>
      <c r="AI14" s="322"/>
      <c r="AJ14" s="322"/>
      <c r="AL14" s="8">
        <f>ROW()-ROW(tblListSimulationSpecs[[#Headers],[SimulationNo]])</f>
        <v>9</v>
      </c>
      <c r="AM14" s="10" t="s">
        <v>439</v>
      </c>
      <c r="AN14" s="10" t="s">
        <v>450</v>
      </c>
      <c r="AO14" s="10" t="s">
        <v>194</v>
      </c>
      <c r="AP14" s="10" t="s">
        <v>130</v>
      </c>
      <c r="AQ14" s="10" t="s">
        <v>106</v>
      </c>
      <c r="AR14" s="10" t="b">
        <v>0</v>
      </c>
      <c r="AS14" s="10"/>
    </row>
    <row r="15" spans="1:50" x14ac:dyDescent="0.25">
      <c r="A15" s="19" t="s">
        <v>208</v>
      </c>
      <c r="B15" s="24">
        <f>MATCH(ActiveMarketScenarioSheet,ListScenarioSheets,0)</f>
        <v>1</v>
      </c>
      <c r="F15" s="7" t="s">
        <v>207</v>
      </c>
      <c r="G15" s="29" t="str">
        <f>INDEX(tblMarketScenarioSheets[Sheetname],MATCH(ActiveMarketScenarioName,tblMarketScenarioSheets[Val::ScenarioName],0))</f>
        <v>Baseline Scenario</v>
      </c>
      <c r="K15" s="10" t="s">
        <v>378</v>
      </c>
      <c r="L15" s="10" t="s">
        <v>379</v>
      </c>
      <c r="M15" s="10" t="s">
        <v>377</v>
      </c>
      <c r="N15" s="14"/>
      <c r="O15" s="14"/>
      <c r="P15" s="14"/>
      <c r="Q15" s="81" t="s">
        <v>653</v>
      </c>
      <c r="R15" s="21" t="s">
        <v>265</v>
      </c>
      <c r="S15" s="321">
        <v>0</v>
      </c>
      <c r="T15" s="321">
        <v>0</v>
      </c>
      <c r="U15" s="321">
        <v>0</v>
      </c>
      <c r="V15" s="321">
        <v>0</v>
      </c>
      <c r="W15" s="321">
        <v>0</v>
      </c>
      <c r="X15" s="321">
        <v>0</v>
      </c>
      <c r="Y15" s="321">
        <v>0</v>
      </c>
      <c r="Z15" s="321">
        <v>0</v>
      </c>
      <c r="AA15" s="321">
        <v>0</v>
      </c>
      <c r="AB15" s="321">
        <v>1</v>
      </c>
      <c r="AC15" s="321">
        <v>0</v>
      </c>
      <c r="AD15" s="321">
        <v>0</v>
      </c>
      <c r="AE15" s="321">
        <v>0</v>
      </c>
      <c r="AF15" s="4" t="s">
        <v>27</v>
      </c>
      <c r="AG15" s="322"/>
      <c r="AH15" s="21"/>
      <c r="AI15" s="322"/>
      <c r="AJ15" s="322"/>
      <c r="AR15" s="43"/>
      <c r="AU15" s="3"/>
      <c r="AV15" s="3"/>
      <c r="AW15" s="3"/>
      <c r="AX15" s="3"/>
    </row>
    <row r="16" spans="1:50" x14ac:dyDescent="0.25">
      <c r="A16" s="19" t="s">
        <v>209</v>
      </c>
      <c r="B16" s="26" t="e">
        <f>MATCH($G$16,tblLifeExpSheets[Sheetname],0)</f>
        <v>#N/A</v>
      </c>
      <c r="F16" s="7" t="s">
        <v>205</v>
      </c>
      <c r="G16" s="45" t="e">
        <f>INDEX(tblLifeExpCrossTable[],MATCH(ActiveLifeExpScenario,tblLifeExpCrossTable[Scenario name],0),MATCH(CountryAbbrev,tblLifeExpCrossTable[#Headers],0))</f>
        <v>#N/A</v>
      </c>
      <c r="K16" s="5" t="s">
        <v>514</v>
      </c>
      <c r="L16" s="5" t="s">
        <v>515</v>
      </c>
      <c r="M16" s="5" t="s">
        <v>4</v>
      </c>
      <c r="Q16" s="81" t="s">
        <v>533</v>
      </c>
      <c r="R16" s="21" t="s">
        <v>265</v>
      </c>
      <c r="S16" s="321">
        <v>0</v>
      </c>
      <c r="T16" s="321">
        <v>0</v>
      </c>
      <c r="U16" s="321">
        <v>0</v>
      </c>
      <c r="V16" s="321">
        <v>0</v>
      </c>
      <c r="W16" s="321">
        <v>0</v>
      </c>
      <c r="X16" s="321">
        <v>0</v>
      </c>
      <c r="Y16" s="321">
        <v>0</v>
      </c>
      <c r="Z16" s="321">
        <v>0</v>
      </c>
      <c r="AA16" s="321">
        <v>0</v>
      </c>
      <c r="AB16" s="321">
        <v>0</v>
      </c>
      <c r="AC16" s="321">
        <v>1</v>
      </c>
      <c r="AD16" s="321">
        <v>0</v>
      </c>
      <c r="AE16" s="321">
        <v>0</v>
      </c>
      <c r="AF16" s="4" t="s">
        <v>27</v>
      </c>
      <c r="AG16" s="322"/>
      <c r="AH16" s="21"/>
      <c r="AI16" s="322"/>
      <c r="AJ16" s="322"/>
      <c r="AR16" s="43"/>
      <c r="AU16" s="3"/>
      <c r="AV16" s="3"/>
      <c r="AW16" s="3"/>
      <c r="AX16" s="3"/>
    </row>
    <row r="17" spans="1:50" x14ac:dyDescent="0.25">
      <c r="K17" s="5" t="s">
        <v>522</v>
      </c>
      <c r="L17" s="5" t="s">
        <v>521</v>
      </c>
      <c r="M17" s="5" t="s">
        <v>519</v>
      </c>
      <c r="Q17" s="81" t="s">
        <v>534</v>
      </c>
      <c r="R17" s="21" t="s">
        <v>265</v>
      </c>
      <c r="S17" s="321">
        <v>0</v>
      </c>
      <c r="T17" s="321">
        <v>0</v>
      </c>
      <c r="U17" s="321">
        <v>0</v>
      </c>
      <c r="V17" s="321">
        <v>0</v>
      </c>
      <c r="W17" s="321">
        <v>0</v>
      </c>
      <c r="X17" s="321">
        <v>0</v>
      </c>
      <c r="Y17" s="321">
        <v>0</v>
      </c>
      <c r="Z17" s="321">
        <v>0</v>
      </c>
      <c r="AA17" s="321">
        <v>0</v>
      </c>
      <c r="AB17" s="321">
        <v>0</v>
      </c>
      <c r="AC17" s="321">
        <v>0</v>
      </c>
      <c r="AD17" s="321">
        <v>1</v>
      </c>
      <c r="AE17" s="321">
        <v>0</v>
      </c>
      <c r="AF17" s="4" t="s">
        <v>27</v>
      </c>
      <c r="AG17" s="322"/>
      <c r="AH17" s="21"/>
      <c r="AI17" s="322"/>
      <c r="AJ17" s="322"/>
      <c r="AL17"/>
      <c r="AP17" s="3"/>
      <c r="AQ17" s="43"/>
      <c r="AR17" s="3"/>
      <c r="AS17"/>
    </row>
    <row r="18" spans="1:50" s="3" customFormat="1" x14ac:dyDescent="0.25">
      <c r="A18" s="19"/>
      <c r="B18" s="19" t="s">
        <v>436</v>
      </c>
      <c r="C18" s="19" t="b">
        <f>(DCStressWorkbookType="wbCalculationTool")</f>
        <v>0</v>
      </c>
      <c r="D18" s="19"/>
      <c r="F18" s="23" t="s">
        <v>397</v>
      </c>
      <c r="G18" s="5" t="s">
        <v>702</v>
      </c>
      <c r="I18"/>
      <c r="K18" s="5" t="s">
        <v>646</v>
      </c>
      <c r="L18" s="5" t="s">
        <v>647</v>
      </c>
      <c r="M18" s="5" t="s">
        <v>4</v>
      </c>
      <c r="N18" s="11"/>
      <c r="O18" s="11"/>
      <c r="P18" s="11"/>
      <c r="Q18" s="82" t="s">
        <v>374</v>
      </c>
      <c r="R18" s="21" t="s">
        <v>45</v>
      </c>
      <c r="S18" s="321">
        <v>0</v>
      </c>
      <c r="T18" s="321">
        <v>0</v>
      </c>
      <c r="U18" s="321">
        <v>0</v>
      </c>
      <c r="V18" s="321">
        <v>0</v>
      </c>
      <c r="W18" s="321">
        <v>0</v>
      </c>
      <c r="X18" s="321">
        <v>0</v>
      </c>
      <c r="Y18" s="321">
        <v>0</v>
      </c>
      <c r="Z18" s="321">
        <v>0</v>
      </c>
      <c r="AA18" s="321">
        <v>0</v>
      </c>
      <c r="AB18" s="321">
        <v>0</v>
      </c>
      <c r="AC18" s="321">
        <v>0</v>
      </c>
      <c r="AD18" s="321">
        <v>0</v>
      </c>
      <c r="AE18" s="321">
        <v>1</v>
      </c>
      <c r="AF18" s="4">
        <v>0</v>
      </c>
      <c r="AG18" s="322"/>
      <c r="AH18" s="21" t="s">
        <v>374</v>
      </c>
      <c r="AI18" s="322"/>
      <c r="AJ18" s="322"/>
      <c r="AL18"/>
      <c r="AM18"/>
      <c r="AN18"/>
      <c r="AO18"/>
      <c r="AQ18" s="43"/>
      <c r="AU18"/>
      <c r="AV18"/>
      <c r="AW18"/>
      <c r="AX18"/>
    </row>
    <row r="19" spans="1:50" s="3" customFormat="1" x14ac:dyDescent="0.25">
      <c r="A19" s="19"/>
      <c r="B19" s="19"/>
      <c r="C19" s="19"/>
      <c r="D19" s="19"/>
      <c r="F19" s="23" t="s">
        <v>398</v>
      </c>
      <c r="G19" s="5">
        <v>1.4</v>
      </c>
      <c r="K19"/>
      <c r="L19"/>
      <c r="M19"/>
      <c r="N19" s="11"/>
      <c r="O19" s="11"/>
      <c r="P19" s="11"/>
      <c r="Q19" s="82" t="s">
        <v>655</v>
      </c>
      <c r="R19" s="21" t="s">
        <v>45</v>
      </c>
      <c r="S19" s="321">
        <v>0</v>
      </c>
      <c r="T19" s="321">
        <v>0</v>
      </c>
      <c r="U19" s="321">
        <v>0</v>
      </c>
      <c r="V19" s="321">
        <v>0</v>
      </c>
      <c r="W19" s="321">
        <v>0</v>
      </c>
      <c r="X19" s="321">
        <v>0</v>
      </c>
      <c r="Y19" s="321">
        <v>0</v>
      </c>
      <c r="Z19" s="321">
        <v>0</v>
      </c>
      <c r="AA19" s="321">
        <v>0</v>
      </c>
      <c r="AB19" s="321">
        <v>0</v>
      </c>
      <c r="AC19" s="321">
        <v>0</v>
      </c>
      <c r="AD19" s="321">
        <v>0</v>
      </c>
      <c r="AE19" s="321">
        <v>1</v>
      </c>
      <c r="AF19" s="4">
        <v>0</v>
      </c>
      <c r="AG19" s="322"/>
      <c r="AH19" s="21" t="s">
        <v>655</v>
      </c>
      <c r="AI19" s="322"/>
      <c r="AJ19" s="322"/>
      <c r="AQ19" s="43"/>
      <c r="AS19"/>
      <c r="AU19"/>
      <c r="AV19"/>
      <c r="AW19"/>
      <c r="AX19"/>
    </row>
    <row r="20" spans="1:50" x14ac:dyDescent="0.25">
      <c r="I20" s="3"/>
      <c r="K20" s="3"/>
      <c r="L20" s="3"/>
      <c r="M20" s="3"/>
      <c r="Q20" s="82" t="s">
        <v>656</v>
      </c>
      <c r="R20" s="21" t="s">
        <v>45</v>
      </c>
      <c r="S20" s="321">
        <v>0</v>
      </c>
      <c r="T20" s="321">
        <v>0</v>
      </c>
      <c r="U20" s="321">
        <v>0</v>
      </c>
      <c r="V20" s="321">
        <v>0</v>
      </c>
      <c r="W20" s="321">
        <v>0</v>
      </c>
      <c r="X20" s="321">
        <v>0</v>
      </c>
      <c r="Y20" s="321">
        <v>0</v>
      </c>
      <c r="Z20" s="321">
        <v>0</v>
      </c>
      <c r="AA20" s="321">
        <v>0</v>
      </c>
      <c r="AB20" s="321">
        <v>0</v>
      </c>
      <c r="AC20" s="321">
        <v>0</v>
      </c>
      <c r="AD20" s="321">
        <v>0</v>
      </c>
      <c r="AE20" s="321">
        <v>1</v>
      </c>
      <c r="AF20" s="4">
        <v>0</v>
      </c>
      <c r="AG20" s="322"/>
      <c r="AH20" s="21" t="s">
        <v>656</v>
      </c>
      <c r="AI20" s="322"/>
      <c r="AJ20" s="322"/>
      <c r="AL20"/>
      <c r="AP20" s="3"/>
      <c r="AQ20" s="43"/>
      <c r="AR20" s="3"/>
      <c r="AS20"/>
      <c r="AX20" s="3"/>
    </row>
    <row r="21" spans="1:50" x14ac:dyDescent="0.25">
      <c r="F21" s="7" t="s">
        <v>275</v>
      </c>
      <c r="G21" s="13">
        <v>0.25</v>
      </c>
      <c r="K21" s="3"/>
      <c r="L21" s="3"/>
      <c r="M21" s="3"/>
      <c r="Q21" s="82" t="s">
        <v>657</v>
      </c>
      <c r="R21" s="325" t="s">
        <v>45</v>
      </c>
      <c r="S21" s="326">
        <v>0</v>
      </c>
      <c r="T21" s="326">
        <v>0</v>
      </c>
      <c r="U21" s="326">
        <v>0</v>
      </c>
      <c r="V21" s="326">
        <v>0</v>
      </c>
      <c r="W21" s="326">
        <v>0</v>
      </c>
      <c r="X21" s="326">
        <v>0</v>
      </c>
      <c r="Y21" s="326">
        <v>0</v>
      </c>
      <c r="Z21" s="326">
        <v>0</v>
      </c>
      <c r="AA21" s="326">
        <v>0</v>
      </c>
      <c r="AB21" s="326">
        <v>0</v>
      </c>
      <c r="AC21" s="326">
        <v>0</v>
      </c>
      <c r="AD21" s="326">
        <v>0</v>
      </c>
      <c r="AE21" s="326">
        <v>1</v>
      </c>
      <c r="AF21" s="4">
        <v>0</v>
      </c>
      <c r="AG21" s="327"/>
      <c r="AH21" s="325" t="s">
        <v>657</v>
      </c>
      <c r="AI21" s="327"/>
      <c r="AJ21" s="327"/>
      <c r="AL21"/>
      <c r="AP21" s="3"/>
      <c r="AQ21" s="43"/>
      <c r="AR21" s="3"/>
      <c r="AS21"/>
    </row>
    <row r="22" spans="1:50" x14ac:dyDescent="0.25">
      <c r="F22" s="23" t="s">
        <v>389</v>
      </c>
      <c r="G22" s="63">
        <v>0.01</v>
      </c>
      <c r="Q22" s="82" t="s">
        <v>402</v>
      </c>
      <c r="R22" s="21" t="s">
        <v>45</v>
      </c>
      <c r="S22" s="321">
        <v>0</v>
      </c>
      <c r="T22" s="321">
        <v>0</v>
      </c>
      <c r="U22" s="321">
        <v>0</v>
      </c>
      <c r="V22" s="321">
        <v>0</v>
      </c>
      <c r="W22" s="321">
        <v>0</v>
      </c>
      <c r="X22" s="321">
        <v>0</v>
      </c>
      <c r="Y22" s="321">
        <v>0</v>
      </c>
      <c r="Z22" s="321">
        <v>0</v>
      </c>
      <c r="AA22" s="321">
        <v>0</v>
      </c>
      <c r="AB22" s="321">
        <v>0</v>
      </c>
      <c r="AC22" s="321">
        <v>0</v>
      </c>
      <c r="AD22" s="321">
        <v>0</v>
      </c>
      <c r="AE22" s="321">
        <v>1</v>
      </c>
      <c r="AF22" s="4">
        <v>0</v>
      </c>
      <c r="AG22" s="322"/>
      <c r="AH22" s="21" t="s">
        <v>402</v>
      </c>
      <c r="AI22" s="322"/>
      <c r="AJ22" s="322"/>
      <c r="AR22" s="43"/>
      <c r="AS22"/>
    </row>
    <row r="23" spans="1:50" x14ac:dyDescent="0.25">
      <c r="F23" s="7" t="s">
        <v>451</v>
      </c>
      <c r="G23" s="5">
        <v>20</v>
      </c>
      <c r="Q23" s="82" t="s">
        <v>531</v>
      </c>
      <c r="R23" s="21" t="s">
        <v>45</v>
      </c>
      <c r="S23" s="321">
        <v>0</v>
      </c>
      <c r="T23" s="321">
        <v>0</v>
      </c>
      <c r="U23" s="321">
        <v>0</v>
      </c>
      <c r="V23" s="321">
        <v>0</v>
      </c>
      <c r="W23" s="321">
        <v>0</v>
      </c>
      <c r="X23" s="321">
        <v>0</v>
      </c>
      <c r="Y23" s="321">
        <v>0</v>
      </c>
      <c r="Z23" s="321">
        <v>0</v>
      </c>
      <c r="AA23" s="321">
        <v>0</v>
      </c>
      <c r="AB23" s="321">
        <v>0</v>
      </c>
      <c r="AC23" s="321">
        <v>0</v>
      </c>
      <c r="AD23" s="321">
        <v>0</v>
      </c>
      <c r="AE23" s="321">
        <v>1</v>
      </c>
      <c r="AF23" s="4">
        <v>0</v>
      </c>
      <c r="AG23" s="322"/>
      <c r="AH23" s="21" t="s">
        <v>531</v>
      </c>
      <c r="AI23" s="322"/>
      <c r="AJ23" s="322"/>
      <c r="AR23" s="43"/>
      <c r="AS23"/>
      <c r="AT23" s="3"/>
    </row>
    <row r="24" spans="1:50" x14ac:dyDescent="0.25">
      <c r="Q24" s="82" t="s">
        <v>532</v>
      </c>
      <c r="R24" s="21" t="s">
        <v>45</v>
      </c>
      <c r="S24" s="321">
        <v>0</v>
      </c>
      <c r="T24" s="321">
        <v>0</v>
      </c>
      <c r="U24" s="321">
        <v>0</v>
      </c>
      <c r="V24" s="321">
        <v>0</v>
      </c>
      <c r="W24" s="321">
        <v>0</v>
      </c>
      <c r="X24" s="321">
        <v>0</v>
      </c>
      <c r="Y24" s="321">
        <v>0</v>
      </c>
      <c r="Z24" s="321">
        <v>0</v>
      </c>
      <c r="AA24" s="321">
        <v>0</v>
      </c>
      <c r="AB24" s="321">
        <v>0</v>
      </c>
      <c r="AC24" s="321">
        <v>0</v>
      </c>
      <c r="AD24" s="321">
        <v>0</v>
      </c>
      <c r="AE24" s="321">
        <v>1</v>
      </c>
      <c r="AF24" s="4">
        <v>0</v>
      </c>
      <c r="AG24" s="322"/>
      <c r="AH24" s="21" t="s">
        <v>532</v>
      </c>
      <c r="AI24" s="322"/>
      <c r="AJ24" s="322"/>
      <c r="AK24" s="3"/>
      <c r="AL24"/>
      <c r="AP24" s="3"/>
      <c r="AQ24" s="43"/>
      <c r="AR24" s="3"/>
    </row>
    <row r="25" spans="1:50" ht="18.75" x14ac:dyDescent="0.3">
      <c r="F25" s="338" t="s">
        <v>351</v>
      </c>
      <c r="G25" s="338"/>
      <c r="Q25" s="83" t="s">
        <v>266</v>
      </c>
      <c r="R25" s="49" t="s">
        <v>45</v>
      </c>
      <c r="S25" s="323">
        <v>0</v>
      </c>
      <c r="T25" s="323">
        <v>0</v>
      </c>
      <c r="U25" s="321">
        <v>0</v>
      </c>
      <c r="V25" s="323">
        <v>0</v>
      </c>
      <c r="W25" s="323">
        <v>0</v>
      </c>
      <c r="X25" s="323">
        <v>0</v>
      </c>
      <c r="Y25" s="323">
        <v>0</v>
      </c>
      <c r="Z25" s="323">
        <v>0</v>
      </c>
      <c r="AA25" s="321">
        <v>0</v>
      </c>
      <c r="AB25" s="323">
        <v>0</v>
      </c>
      <c r="AC25" s="323">
        <v>0</v>
      </c>
      <c r="AD25" s="323">
        <v>0</v>
      </c>
      <c r="AE25" s="323">
        <v>1</v>
      </c>
      <c r="AF25" s="332">
        <v>1</v>
      </c>
      <c r="AG25" s="324"/>
      <c r="AH25" s="49"/>
      <c r="AI25" s="324"/>
      <c r="AJ25" s="324"/>
      <c r="AK25" s="3"/>
      <c r="AL25"/>
      <c r="AP25" s="3"/>
      <c r="AQ25" s="43"/>
      <c r="AR25" s="3"/>
      <c r="AS25"/>
    </row>
    <row r="26" spans="1:50" x14ac:dyDescent="0.25">
      <c r="F26" s="7" t="s">
        <v>350</v>
      </c>
      <c r="G26" s="7" t="s">
        <v>349</v>
      </c>
      <c r="AR26" s="43"/>
      <c r="AS26"/>
      <c r="AV26" s="3"/>
      <c r="AW26" s="3"/>
    </row>
    <row r="27" spans="1:50" ht="60.75" customHeight="1" x14ac:dyDescent="0.25">
      <c r="F27" s="58" t="s">
        <v>101</v>
      </c>
      <c r="G27" s="59" t="s">
        <v>605</v>
      </c>
      <c r="AR27" s="43"/>
    </row>
    <row r="28" spans="1:50" x14ac:dyDescent="0.25">
      <c r="F28" s="10" t="s">
        <v>144</v>
      </c>
      <c r="G28" s="60" t="s">
        <v>390</v>
      </c>
      <c r="J28" s="3"/>
      <c r="L28" s="11"/>
      <c r="M28" s="11"/>
      <c r="AR28" s="43"/>
      <c r="AS28"/>
    </row>
    <row r="29" spans="1:50" s="3" customFormat="1" x14ac:dyDescent="0.25">
      <c r="A29" s="19"/>
      <c r="B29" s="19"/>
      <c r="C29" s="19"/>
      <c r="D29" s="19"/>
      <c r="F29" s="10" t="s">
        <v>145</v>
      </c>
      <c r="G29" s="60" t="s">
        <v>690</v>
      </c>
      <c r="H29"/>
      <c r="J29"/>
      <c r="K29"/>
      <c r="L29" s="11"/>
      <c r="M29" s="11"/>
      <c r="N29" s="11"/>
      <c r="O29" s="11"/>
      <c r="P29" s="11"/>
      <c r="Q29" s="11"/>
      <c r="R29" s="11"/>
      <c r="S29" s="316"/>
      <c r="T29" s="316"/>
      <c r="U29" s="316"/>
      <c r="V29" s="316"/>
      <c r="W29" s="316"/>
      <c r="X29" s="316"/>
      <c r="Y29" s="316"/>
      <c r="Z29" s="316"/>
      <c r="AA29" s="316"/>
      <c r="AB29" s="316"/>
      <c r="AC29" s="316"/>
      <c r="AD29" s="316"/>
      <c r="AE29" s="316"/>
      <c r="AF29" s="316"/>
      <c r="AG29" s="316"/>
      <c r="AH29" s="316"/>
      <c r="AI29" s="316"/>
      <c r="AJ29" s="317"/>
      <c r="AK29"/>
      <c r="AM29"/>
      <c r="AN29"/>
      <c r="AO29"/>
      <c r="AP29"/>
      <c r="AR29" s="43"/>
      <c r="AS29"/>
      <c r="AT29"/>
      <c r="AU29"/>
      <c r="AV29"/>
      <c r="AW29"/>
    </row>
    <row r="30" spans="1:50" ht="45" x14ac:dyDescent="0.25">
      <c r="F30" s="5" t="s">
        <v>128</v>
      </c>
      <c r="G30" s="61" t="s">
        <v>600</v>
      </c>
      <c r="H30" s="3"/>
      <c r="K30" s="3"/>
      <c r="L30" s="11"/>
      <c r="M30" s="11"/>
      <c r="AI30" s="317"/>
      <c r="AR30" s="43"/>
      <c r="AS30"/>
    </row>
    <row r="31" spans="1:50" ht="45" x14ac:dyDescent="0.25">
      <c r="F31" s="5" t="s">
        <v>129</v>
      </c>
      <c r="G31" s="61" t="s">
        <v>600</v>
      </c>
      <c r="L31" s="11"/>
      <c r="M31" s="11"/>
      <c r="AI31" s="317"/>
      <c r="AR31" s="43"/>
      <c r="AS31"/>
    </row>
    <row r="32" spans="1:50" ht="45" x14ac:dyDescent="0.25">
      <c r="F32" s="5" t="s">
        <v>130</v>
      </c>
      <c r="G32" s="61" t="s">
        <v>600</v>
      </c>
      <c r="L32" s="11"/>
      <c r="M32" s="11"/>
      <c r="AI32" s="317"/>
      <c r="AR32" s="43"/>
      <c r="AS32"/>
    </row>
    <row r="33" spans="12:35" x14ac:dyDescent="0.25">
      <c r="L33" s="11"/>
      <c r="M33" s="11"/>
      <c r="AI33" s="317"/>
    </row>
    <row r="34" spans="12:35" x14ac:dyDescent="0.25">
      <c r="L34" s="11"/>
      <c r="M34" s="11"/>
      <c r="AI34" s="317"/>
    </row>
    <row r="35" spans="12:35" x14ac:dyDescent="0.25">
      <c r="AH35" s="317"/>
      <c r="AI35" s="317"/>
    </row>
    <row r="36" spans="12:35" x14ac:dyDescent="0.25">
      <c r="AH36" s="317"/>
      <c r="AI36" s="317"/>
    </row>
    <row r="37" spans="12:35" x14ac:dyDescent="0.25">
      <c r="AI37" s="317"/>
    </row>
    <row r="38" spans="12:35" x14ac:dyDescent="0.25">
      <c r="AI38" s="317"/>
    </row>
    <row r="39" spans="12:35" x14ac:dyDescent="0.25">
      <c r="AI39" s="317"/>
    </row>
    <row r="40" spans="12:35" x14ac:dyDescent="0.25">
      <c r="AI40" s="317"/>
    </row>
    <row r="41" spans="12:35" x14ac:dyDescent="0.25">
      <c r="AI41" s="317"/>
    </row>
  </sheetData>
  <sheetProtection algorithmName="SHA-512" hashValue="9WHS7mAHUU6/5ngbt2dVQmDD6Ims/AQ3kvM1muZYrrwyeMVdmGwQYbj6sSLjddc04IZG00Wo7fkjKLLCZbKYeA==" saltValue="cW86SgYDjdQjN3i/kH5obw==" spinCount="100000" sheet="1" objects="1" scenarios="1"/>
  <scenarios current="0" show="0" sqref="I5:I6">
    <scenario name="BaseMember1" locked="1" count="2" user="BK" comment="Created by BK on 2/6/2015">
      <inputCells r="G15" val="BaselineScenario"/>
      <inputCells r="G8" val="Member 1"/>
    </scenario>
    <scenario name="BaseMember2" locked="1" count="2" user="BK" comment="Created by BK on 2/6/2015">
      <inputCells r="G15" val="BaselineScenario"/>
      <inputCells r="G8" val="Member 2"/>
    </scenario>
    <scenario name="Adv1Member1" locked="1" count="2" user="BK" comment="Created by BK on 2/6/2015">
      <inputCells r="G15" val="Adverse Scenario 1"/>
      <inputCells r="G8" val="Member 1"/>
    </scenario>
    <scenario name="Adv1Member2" locked="1" count="2" user="BK" comment="Created by BK on 2/6/2015">
      <inputCells r="G15" val="Adverse Scenario 1"/>
      <inputCells r="G8" val="Member 2"/>
    </scenario>
    <scenario name="Adv2Member1" locked="1" count="2" user="BK" comment="Created by BK on 2/6/2015">
      <inputCells r="G15" val="Adverse Scenario 2"/>
      <inputCells r="G8" val="Member 1"/>
    </scenario>
    <scenario name="Adv2Member2" locked="1" count="2" user="BK" comment="Created by BK on 2/6/2015">
      <inputCells r="G15" val="Adverse Scenario 2"/>
      <inputCells r="G8" val="Member 2"/>
    </scenario>
  </scenarios>
  <mergeCells count="3">
    <mergeCell ref="K4:M4"/>
    <mergeCell ref="F4:G4"/>
    <mergeCell ref="F25:G25"/>
  </mergeCells>
  <dataValidations count="8">
    <dataValidation type="list" allowBlank="1" showInputMessage="1" showErrorMessage="1" sqref="G5 AS6:AS12">
      <formula1>ListSimulationNames</formula1>
    </dataValidation>
    <dataValidation showInputMessage="1" showErrorMessage="1" sqref="N6:P16 AK6:AK16 Q6:Q9 U26:AI28 R6:T17 AI16:AJ25 Q18:T28 U6:AF25 AG18:AG25 AG6:AJ15 AG16:AH17"/>
    <dataValidation type="list" allowBlank="1" showInputMessage="1" showErrorMessage="1" sqref="G18">
      <formula1>"wbReportingTemplateInput, wbReportingTemplateComplete, wbCalculationTool"</formula1>
    </dataValidation>
    <dataValidation type="list" allowBlank="1" showInputMessage="1" showErrorMessage="1" sqref="AO6:AO14">
      <formula1>ListMarketScenarioNames</formula1>
    </dataValidation>
    <dataValidation type="list" allowBlank="1" showInputMessage="1" showErrorMessage="1" sqref="AP6:AP14">
      <formula1>ListMemberSheets</formula1>
    </dataValidation>
    <dataValidation type="list" allowBlank="1" showInputMessage="1" showErrorMessage="1" sqref="AQ6:AQ14">
      <formula1>ListLifeExpScenarios</formula1>
    </dataValidation>
    <dataValidation type="list" allowBlank="1" showInputMessage="1" showErrorMessage="1" sqref="AR6:AR14">
      <formula1>"TRUE, FALSE"</formula1>
    </dataValidation>
    <dataValidation type="list" showInputMessage="1" showErrorMessage="1" sqref="M6:M18">
      <formula1>ListCurrencies</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05" r:id="rId4" name="Button 5">
              <controlPr defaultSize="0" print="0" autoFill="0" autoPict="0" macro="[0]!RunActivateSettings">
                <anchor moveWithCells="1" sizeWithCells="1">
                  <from>
                    <xdr:col>6</xdr:col>
                    <xdr:colOff>1752600</xdr:colOff>
                    <xdr:row>0</xdr:row>
                    <xdr:rowOff>95250</xdr:rowOff>
                  </from>
                  <to>
                    <xdr:col>8</xdr:col>
                    <xdr:colOff>333375</xdr:colOff>
                    <xdr:row>2</xdr:row>
                    <xdr:rowOff>57150</xdr:rowOff>
                  </to>
                </anchor>
              </controlPr>
            </control>
          </mc:Choice>
        </mc:AlternateContent>
        <mc:AlternateContent xmlns:mc="http://schemas.openxmlformats.org/markup-compatibility/2006">
          <mc:Choice Requires="x14">
            <control shapeId="204808" r:id="rId5" name="Button 8">
              <controlPr defaultSize="0" print="0" autoFill="0" autoPict="0" macro="[0]!SetupSimulations">
                <anchor moveWithCells="1" sizeWithCells="1">
                  <from>
                    <xdr:col>8</xdr:col>
                    <xdr:colOff>847725</xdr:colOff>
                    <xdr:row>0</xdr:row>
                    <xdr:rowOff>180975</xdr:rowOff>
                  </from>
                  <to>
                    <xdr:col>12</xdr:col>
                    <xdr:colOff>495300</xdr:colOff>
                    <xdr:row>1</xdr:row>
                    <xdr:rowOff>447675</xdr:rowOff>
                  </to>
                </anchor>
              </controlPr>
            </control>
          </mc:Choice>
        </mc:AlternateContent>
        <mc:AlternateContent xmlns:mc="http://schemas.openxmlformats.org/markup-compatibility/2006">
          <mc:Choice Requires="x14">
            <control shapeId="204811" r:id="rId6" name="Button 11">
              <controlPr defaultSize="0" print="0" autoFill="0" autoPict="0" macro="[0]!RunPackageTool">
                <anchor moveWithCells="1" sizeWithCells="1">
                  <from>
                    <xdr:col>6</xdr:col>
                    <xdr:colOff>247650</xdr:colOff>
                    <xdr:row>0</xdr:row>
                    <xdr:rowOff>114300</xdr:rowOff>
                  </from>
                  <to>
                    <xdr:col>6</xdr:col>
                    <xdr:colOff>1543050</xdr:colOff>
                    <xdr:row>2</xdr:row>
                    <xdr:rowOff>76200</xdr:rowOff>
                  </to>
                </anchor>
              </controlPr>
            </control>
          </mc:Choice>
        </mc:AlternateContent>
      </controls>
    </mc:Choice>
  </mc:AlternateContent>
  <tableParts count="7">
    <tablePart r:id="rId7"/>
    <tablePart r:id="rId8"/>
    <tablePart r:id="rId9"/>
    <tablePart r:id="rId10"/>
    <tablePart r:id="rId11"/>
    <tablePart r:id="rId12"/>
    <tablePart r:id="rId13"/>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tabColor rgb="FFFFFF00"/>
  </sheetPr>
  <dimension ref="A1:M97"/>
  <sheetViews>
    <sheetView zoomScaleNormal="100" workbookViewId="0">
      <selection activeCell="F7" sqref="F7:G7"/>
    </sheetView>
  </sheetViews>
  <sheetFormatPr defaultColWidth="9.140625" defaultRowHeight="15" x14ac:dyDescent="0.25"/>
  <cols>
    <col min="1" max="1" width="13.140625" style="19" customWidth="1"/>
    <col min="2" max="2" width="20.28515625" style="19" customWidth="1"/>
    <col min="3" max="3" width="7.140625" style="3" customWidth="1"/>
    <col min="4" max="4" width="9" style="3" customWidth="1"/>
    <col min="5" max="6" width="9.140625" style="3" customWidth="1"/>
    <col min="7" max="7" width="10.7109375" style="3" customWidth="1"/>
    <col min="8" max="10" width="9.140625" style="3" customWidth="1"/>
    <col min="11" max="11" width="5.28515625" style="3" customWidth="1"/>
    <col min="12" max="12" width="11.85546875" style="3" customWidth="1"/>
    <col min="13" max="14" width="9.140625" style="3" customWidth="1"/>
    <col min="15" max="16384" width="9.140625" style="3"/>
  </cols>
  <sheetData>
    <row r="1" spans="1:13" x14ac:dyDescent="0.25">
      <c r="A1" s="19" t="s">
        <v>71</v>
      </c>
      <c r="B1" s="19" t="s">
        <v>193</v>
      </c>
    </row>
    <row r="2" spans="1:13" x14ac:dyDescent="0.25">
      <c r="A2" s="19" t="s">
        <v>73</v>
      </c>
      <c r="B2" s="19">
        <v>1.1000000000000001</v>
      </c>
    </row>
    <row r="3" spans="1:13" ht="26.25" x14ac:dyDescent="0.4">
      <c r="A3" s="19" t="s">
        <v>89</v>
      </c>
      <c r="B3" s="19">
        <v>1</v>
      </c>
      <c r="G3" s="6" t="s">
        <v>642</v>
      </c>
      <c r="H3" s="11"/>
      <c r="I3" s="11"/>
      <c r="J3" s="11"/>
      <c r="K3" s="11"/>
      <c r="L3" s="11"/>
      <c r="M3" s="11"/>
    </row>
    <row r="4" spans="1:13" ht="26.25" x14ac:dyDescent="0.4">
      <c r="A4" s="19" t="s">
        <v>90</v>
      </c>
      <c r="B4" s="19">
        <v>3</v>
      </c>
      <c r="G4" s="6" t="s">
        <v>598</v>
      </c>
      <c r="H4" s="11"/>
      <c r="I4" s="11"/>
      <c r="J4" s="11"/>
      <c r="K4" s="11"/>
      <c r="L4" s="11"/>
      <c r="M4" s="11"/>
    </row>
    <row r="5" spans="1:13" ht="26.25" x14ac:dyDescent="0.4">
      <c r="A5" s="19" t="s">
        <v>91</v>
      </c>
      <c r="B5" s="19">
        <v>42</v>
      </c>
      <c r="G5" s="6" t="s">
        <v>391</v>
      </c>
      <c r="H5" s="11"/>
      <c r="I5" s="11"/>
      <c r="J5" s="11"/>
      <c r="K5" s="11"/>
      <c r="L5" s="11"/>
      <c r="M5" s="11"/>
    </row>
    <row r="6" spans="1:13" ht="15.75" thickBot="1" x14ac:dyDescent="0.3">
      <c r="A6" s="19" t="s">
        <v>92</v>
      </c>
      <c r="B6" s="19">
        <v>15</v>
      </c>
      <c r="G6" s="37"/>
      <c r="H6" s="11"/>
      <c r="I6" s="11"/>
      <c r="J6" s="11"/>
      <c r="K6" s="11"/>
      <c r="L6" s="11"/>
      <c r="M6" s="11"/>
    </row>
    <row r="7" spans="1:13" ht="21" x14ac:dyDescent="0.35">
      <c r="A7" s="19" t="s">
        <v>94</v>
      </c>
      <c r="B7" s="19" t="b">
        <f>IsCalculationTool</f>
        <v>0</v>
      </c>
      <c r="D7" s="297" t="s">
        <v>641</v>
      </c>
      <c r="F7" s="340" t="str">
        <f>fileversion</f>
        <v>v20190307</v>
      </c>
      <c r="G7" s="340"/>
      <c r="H7" s="312"/>
      <c r="I7" s="341">
        <v>19</v>
      </c>
      <c r="J7" s="342"/>
      <c r="K7" s="37"/>
      <c r="L7" s="335" t="s">
        <v>698</v>
      </c>
      <c r="M7" s="37"/>
    </row>
    <row r="8" spans="1:13" ht="15.75" thickBot="1" x14ac:dyDescent="0.3">
      <c r="A8" s="19" t="s">
        <v>96</v>
      </c>
      <c r="B8" s="19" t="b">
        <v>1</v>
      </c>
      <c r="I8" s="343"/>
      <c r="J8" s="344"/>
      <c r="L8" s="336" t="s">
        <v>699</v>
      </c>
    </row>
    <row r="9" spans="1:13" x14ac:dyDescent="0.25">
      <c r="A9" s="19" t="s">
        <v>434</v>
      </c>
      <c r="B9" s="42" t="b">
        <v>0</v>
      </c>
      <c r="L9" s="336" t="s">
        <v>700</v>
      </c>
    </row>
    <row r="10" spans="1:13" ht="19.5" customHeight="1" x14ac:dyDescent="0.35">
      <c r="D10" s="15" t="s">
        <v>392</v>
      </c>
      <c r="L10" s="337">
        <v>43531</v>
      </c>
    </row>
    <row r="11" spans="1:13" ht="18.75" customHeight="1" x14ac:dyDescent="0.25"/>
    <row r="15" spans="1:13" ht="21" x14ac:dyDescent="0.35">
      <c r="D15" s="38"/>
      <c r="E15" s="339"/>
      <c r="F15" s="339"/>
      <c r="G15" s="339"/>
      <c r="H15" s="339"/>
      <c r="I15" s="339"/>
      <c r="J15" s="339"/>
      <c r="K15" s="339"/>
    </row>
    <row r="17" spans="4:6" ht="21" x14ac:dyDescent="0.35">
      <c r="D17" s="15" t="s">
        <v>393</v>
      </c>
      <c r="E17" s="44"/>
      <c r="F17" s="44"/>
    </row>
    <row r="18" spans="4:6" x14ac:dyDescent="0.25">
      <c r="D18" s="38"/>
      <c r="E18" s="44"/>
      <c r="F18" s="44"/>
    </row>
    <row r="19" spans="4:6" x14ac:dyDescent="0.25">
      <c r="D19" s="38"/>
      <c r="E19" s="44"/>
      <c r="F19" s="44"/>
    </row>
    <row r="22" spans="4:6" ht="21" x14ac:dyDescent="0.35">
      <c r="D22" s="15"/>
    </row>
    <row r="31" spans="4:6" ht="21" x14ac:dyDescent="0.35">
      <c r="D31" s="15" t="s">
        <v>140</v>
      </c>
    </row>
    <row r="43" spans="4:6" ht="21" x14ac:dyDescent="0.35">
      <c r="D43" s="15" t="s">
        <v>456</v>
      </c>
    </row>
    <row r="44" spans="4:6" x14ac:dyDescent="0.25">
      <c r="D44" s="68" t="s">
        <v>457</v>
      </c>
      <c r="F44" s="71" t="s">
        <v>460</v>
      </c>
    </row>
    <row r="45" spans="4:6" x14ac:dyDescent="0.25">
      <c r="D45" s="68"/>
      <c r="F45" s="71" t="s">
        <v>473</v>
      </c>
    </row>
    <row r="46" spans="4:6" x14ac:dyDescent="0.25">
      <c r="D46" s="68"/>
      <c r="F46" s="71" t="s">
        <v>476</v>
      </c>
    </row>
    <row r="47" spans="4:6" x14ac:dyDescent="0.25">
      <c r="D47" s="69" t="s">
        <v>458</v>
      </c>
      <c r="F47" s="72" t="s">
        <v>463</v>
      </c>
    </row>
    <row r="48" spans="4:6" x14ac:dyDescent="0.25">
      <c r="D48" s="69"/>
      <c r="F48" s="72" t="s">
        <v>474</v>
      </c>
    </row>
    <row r="49" spans="4:6" x14ac:dyDescent="0.25">
      <c r="D49" s="69"/>
      <c r="F49" s="72" t="s">
        <v>475</v>
      </c>
    </row>
    <row r="50" spans="4:6" x14ac:dyDescent="0.25">
      <c r="D50" s="70"/>
      <c r="F50" s="72" t="s">
        <v>464</v>
      </c>
    </row>
    <row r="51" spans="4:6" x14ac:dyDescent="0.25">
      <c r="D51" s="70"/>
      <c r="F51" s="72" t="s">
        <v>465</v>
      </c>
    </row>
    <row r="52" spans="4:6" x14ac:dyDescent="0.25">
      <c r="D52" s="69" t="s">
        <v>459</v>
      </c>
      <c r="F52" s="72" t="s">
        <v>466</v>
      </c>
    </row>
    <row r="53" spans="4:6" x14ac:dyDescent="0.25">
      <c r="D53" s="69"/>
      <c r="F53" s="72" t="s">
        <v>467</v>
      </c>
    </row>
    <row r="54" spans="4:6" x14ac:dyDescent="0.25">
      <c r="D54" s="69"/>
      <c r="F54" s="71" t="s">
        <v>468</v>
      </c>
    </row>
    <row r="55" spans="4:6" x14ac:dyDescent="0.25">
      <c r="D55" s="69"/>
      <c r="F55" s="72" t="s">
        <v>469</v>
      </c>
    </row>
    <row r="56" spans="4:6" x14ac:dyDescent="0.25">
      <c r="D56" s="69"/>
      <c r="F56" s="71" t="s">
        <v>470</v>
      </c>
    </row>
    <row r="57" spans="4:6" x14ac:dyDescent="0.25">
      <c r="D57" s="69"/>
      <c r="F57" s="71" t="s">
        <v>477</v>
      </c>
    </row>
    <row r="58" spans="4:6" x14ac:dyDescent="0.25">
      <c r="D58" s="69"/>
      <c r="F58" s="71" t="s">
        <v>478</v>
      </c>
    </row>
    <row r="59" spans="4:6" x14ac:dyDescent="0.25">
      <c r="D59" s="69"/>
      <c r="F59" s="71" t="s">
        <v>479</v>
      </c>
    </row>
    <row r="60" spans="4:6" x14ac:dyDescent="0.25">
      <c r="D60" s="69"/>
      <c r="F60" s="72" t="s">
        <v>471</v>
      </c>
    </row>
    <row r="61" spans="4:6" x14ac:dyDescent="0.25">
      <c r="D61" s="69"/>
      <c r="F61" s="72" t="s">
        <v>472</v>
      </c>
    </row>
    <row r="62" spans="4:6" x14ac:dyDescent="0.25">
      <c r="D62" s="69"/>
      <c r="F62" s="72" t="s">
        <v>462</v>
      </c>
    </row>
    <row r="63" spans="4:6" x14ac:dyDescent="0.25">
      <c r="D63" s="69"/>
      <c r="F63" s="72" t="s">
        <v>461</v>
      </c>
    </row>
    <row r="64" spans="4:6" x14ac:dyDescent="0.25">
      <c r="D64" s="69"/>
      <c r="F64" s="72" t="s">
        <v>480</v>
      </c>
    </row>
    <row r="65" spans="4:6" x14ac:dyDescent="0.25">
      <c r="D65" s="69" t="s">
        <v>481</v>
      </c>
      <c r="F65" s="72" t="s">
        <v>482</v>
      </c>
    </row>
    <row r="66" spans="4:6" x14ac:dyDescent="0.25">
      <c r="D66" s="69"/>
      <c r="F66" s="72" t="s">
        <v>483</v>
      </c>
    </row>
    <row r="67" spans="4:6" x14ac:dyDescent="0.25">
      <c r="D67" s="69"/>
      <c r="F67" s="72" t="s">
        <v>484</v>
      </c>
    </row>
    <row r="68" spans="4:6" x14ac:dyDescent="0.25">
      <c r="D68" s="69"/>
      <c r="F68" s="72" t="s">
        <v>485</v>
      </c>
    </row>
    <row r="69" spans="4:6" x14ac:dyDescent="0.25">
      <c r="D69" s="69"/>
      <c r="F69" s="72" t="s">
        <v>486</v>
      </c>
    </row>
    <row r="70" spans="4:6" x14ac:dyDescent="0.25">
      <c r="D70" s="69"/>
      <c r="F70" s="71" t="s">
        <v>487</v>
      </c>
    </row>
    <row r="71" spans="4:6" x14ac:dyDescent="0.25">
      <c r="D71" s="69"/>
      <c r="F71" s="72" t="s">
        <v>488</v>
      </c>
    </row>
    <row r="72" spans="4:6" x14ac:dyDescent="0.25">
      <c r="D72" s="69"/>
      <c r="F72" s="71" t="s">
        <v>489</v>
      </c>
    </row>
    <row r="73" spans="4:6" x14ac:dyDescent="0.25">
      <c r="D73" s="69"/>
      <c r="F73" s="72" t="s">
        <v>492</v>
      </c>
    </row>
    <row r="74" spans="4:6" x14ac:dyDescent="0.25">
      <c r="D74" s="69"/>
      <c r="F74" s="72" t="s">
        <v>490</v>
      </c>
    </row>
    <row r="75" spans="4:6" x14ac:dyDescent="0.25">
      <c r="D75" s="69"/>
      <c r="F75" s="72" t="s">
        <v>491</v>
      </c>
    </row>
    <row r="76" spans="4:6" x14ac:dyDescent="0.25">
      <c r="D76" s="69"/>
      <c r="F76" s="72" t="s">
        <v>493</v>
      </c>
    </row>
    <row r="77" spans="4:6" x14ac:dyDescent="0.25">
      <c r="D77" s="69"/>
      <c r="F77" s="71" t="s">
        <v>494</v>
      </c>
    </row>
    <row r="78" spans="4:6" x14ac:dyDescent="0.25">
      <c r="D78" s="69"/>
      <c r="F78" s="71" t="s">
        <v>495</v>
      </c>
    </row>
    <row r="79" spans="4:6" x14ac:dyDescent="0.25">
      <c r="D79" s="69"/>
      <c r="F79" s="71" t="s">
        <v>496</v>
      </c>
    </row>
    <row r="80" spans="4:6" x14ac:dyDescent="0.25">
      <c r="D80" s="69"/>
      <c r="F80" s="71" t="s">
        <v>497</v>
      </c>
    </row>
    <row r="81" spans="4:6" x14ac:dyDescent="0.25">
      <c r="D81" s="69"/>
      <c r="F81" s="71" t="s">
        <v>498</v>
      </c>
    </row>
    <row r="82" spans="4:6" x14ac:dyDescent="0.25">
      <c r="D82" s="69"/>
      <c r="F82" s="71" t="s">
        <v>499</v>
      </c>
    </row>
    <row r="83" spans="4:6" x14ac:dyDescent="0.25">
      <c r="D83" s="69"/>
      <c r="F83" s="71" t="s">
        <v>500</v>
      </c>
    </row>
    <row r="84" spans="4:6" x14ac:dyDescent="0.25">
      <c r="D84" s="69"/>
      <c r="F84" s="71" t="s">
        <v>501</v>
      </c>
    </row>
    <row r="85" spans="4:6" x14ac:dyDescent="0.25">
      <c r="D85" s="69"/>
      <c r="F85" s="71" t="s">
        <v>502</v>
      </c>
    </row>
    <row r="86" spans="4:6" x14ac:dyDescent="0.25">
      <c r="D86" s="69"/>
      <c r="F86" s="71" t="s">
        <v>503</v>
      </c>
    </row>
    <row r="87" spans="4:6" x14ac:dyDescent="0.25">
      <c r="D87" s="69"/>
      <c r="F87" s="71" t="s">
        <v>504</v>
      </c>
    </row>
    <row r="88" spans="4:6" x14ac:dyDescent="0.25">
      <c r="D88" s="69"/>
      <c r="F88" s="71" t="s">
        <v>505</v>
      </c>
    </row>
    <row r="89" spans="4:6" x14ac:dyDescent="0.25">
      <c r="D89" s="69"/>
      <c r="F89" s="71" t="s">
        <v>506</v>
      </c>
    </row>
    <row r="90" spans="4:6" x14ac:dyDescent="0.25">
      <c r="D90" s="69"/>
      <c r="F90" s="71" t="s">
        <v>507</v>
      </c>
    </row>
    <row r="91" spans="4:6" x14ac:dyDescent="0.25">
      <c r="D91" s="69" t="s">
        <v>508</v>
      </c>
      <c r="F91" s="71" t="s">
        <v>509</v>
      </c>
    </row>
    <row r="92" spans="4:6" x14ac:dyDescent="0.25">
      <c r="D92" s="69"/>
      <c r="F92" s="71" t="s">
        <v>510</v>
      </c>
    </row>
    <row r="93" spans="4:6" x14ac:dyDescent="0.25">
      <c r="D93" s="69"/>
      <c r="F93" s="71" t="s">
        <v>511</v>
      </c>
    </row>
    <row r="94" spans="4:6" x14ac:dyDescent="0.25">
      <c r="D94" s="69"/>
      <c r="F94" s="71" t="s">
        <v>512</v>
      </c>
    </row>
    <row r="95" spans="4:6" x14ac:dyDescent="0.25">
      <c r="D95" s="69"/>
      <c r="F95" s="71" t="s">
        <v>513</v>
      </c>
    </row>
    <row r="97" spans="4:4" ht="21" x14ac:dyDescent="0.35">
      <c r="D97" s="15" t="s">
        <v>455</v>
      </c>
    </row>
  </sheetData>
  <sheetProtection algorithmName="SHA-512" hashValue="K2lf2WK+XSUSKyk8ULbV9OaHRkLbseeo3G6wTGJApKVNK1wH4X2PixDYlDNBYUoga3JrsMK6h63ZU/n2F5DAaQ==" saltValue="KTx6P1WfX/vkCIP3d2oJhw==" spinCount="100000" sheet="1" objects="1" scenarios="1"/>
  <mergeCells count="3">
    <mergeCell ref="E15:K15"/>
    <mergeCell ref="F7:G7"/>
    <mergeCell ref="I7:J8"/>
  </mergeCells>
  <conditionalFormatting sqref="E15">
    <cfRule type="expression" dxfId="163" priority="3">
      <formula>NOT($B$14)</formula>
    </cfRule>
  </conditionalFormatting>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53953" r:id="rId4" name="Button 1">
              <controlPr defaultSize="0" print="0" autoFill="0" autoPict="0" macro="[0]!btnLoadUserforms">
                <anchor moveWithCells="1" sizeWithCells="1">
                  <from>
                    <xdr:col>4</xdr:col>
                    <xdr:colOff>342900</xdr:colOff>
                    <xdr:row>24</xdr:row>
                    <xdr:rowOff>19050</xdr:rowOff>
                  </from>
                  <to>
                    <xdr:col>9</xdr:col>
                    <xdr:colOff>342900</xdr:colOff>
                    <xdr:row>27</xdr:row>
                    <xdr:rowOff>171450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iconSet" priority="2" id="{EA46E8F5-66F8-4330-B5D4-4084B50BC67C}">
            <x14:iconSet iconSet="3Symbols2" showValue="0" custom="1">
              <x14:cfvo type="percent">
                <xm:f>0</xm:f>
              </x14:cfvo>
              <x14:cfvo type="num">
                <xm:f>1</xm:f>
              </x14:cfvo>
              <x14:cfvo type="num">
                <xm:f>1</xm:f>
              </x14:cfvo>
              <x14:cfIcon iconSet="3Symbols2" iconId="0"/>
              <x14:cfIcon iconSet="NoIcons" iconId="0"/>
              <x14:cfIcon iconSet="3Symbols2" iconId="2"/>
            </x14:iconSet>
          </x14:cfRule>
          <xm:sqref>D15</xm:sqref>
        </x14:conditionalFormatting>
        <x14:conditionalFormatting xmlns:xm="http://schemas.microsoft.com/office/excel/2006/main">
          <x14:cfRule type="iconSet" priority="1" id="{78315EA1-C39B-46D0-BCD0-9DF1EE5DDEEE}">
            <x14:iconSet iconSet="3Symbols2" showValue="0" custom="1">
              <x14:cfvo type="percent">
                <xm:f>0</xm:f>
              </x14:cfvo>
              <x14:cfvo type="percent">
                <xm:f>1</xm:f>
              </x14:cfvo>
              <x14:cfvo type="num">
                <xm:f>1</xm:f>
              </x14:cfvo>
              <x14:cfIcon iconSet="3Symbols2" iconId="0"/>
              <x14:cfIcon iconSet="NoIcons" iconId="0"/>
              <x14:cfIcon iconSet="3Symbols2" iconId="2"/>
            </x14:iconSet>
          </x14:cfRule>
          <xm:sqref>D18:D19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1"/>
    <outlinePr summaryBelow="0"/>
  </sheetPr>
  <dimension ref="A1:S118"/>
  <sheetViews>
    <sheetView showGridLines="0" tabSelected="1" topLeftCell="C1" zoomScaleNormal="100" workbookViewId="0">
      <selection activeCell="L8" sqref="L8"/>
    </sheetView>
  </sheetViews>
  <sheetFormatPr defaultColWidth="0" defaultRowHeight="15" zeroHeight="1" x14ac:dyDescent="0.25"/>
  <cols>
    <col min="1" max="1" width="19.85546875" style="298" hidden="1" customWidth="1"/>
    <col min="2" max="2" width="19.42578125" style="298" hidden="1" customWidth="1"/>
    <col min="3" max="3" width="4.7109375" style="294" customWidth="1"/>
    <col min="4" max="4" width="6.140625" style="294" customWidth="1"/>
    <col min="5" max="5" width="5.85546875" style="294" customWidth="1"/>
    <col min="6" max="6" width="4.85546875" style="294" customWidth="1"/>
    <col min="7" max="7" width="9.85546875" style="294" customWidth="1"/>
    <col min="8" max="11" width="9.140625" style="294" customWidth="1"/>
    <col min="12" max="12" width="5.28515625" style="294" customWidth="1"/>
    <col min="13" max="13" width="11.85546875" style="294" customWidth="1"/>
    <col min="14" max="16" width="9.140625" style="294" customWidth="1"/>
    <col min="17" max="19" width="0" style="294" hidden="1" customWidth="1"/>
    <col min="20" max="16384" width="9.140625" style="294" hidden="1"/>
  </cols>
  <sheetData>
    <row r="1" spans="1:19" x14ac:dyDescent="0.25">
      <c r="A1" s="228" t="s">
        <v>71</v>
      </c>
      <c r="B1" s="228" t="s">
        <v>191</v>
      </c>
    </row>
    <row r="2" spans="1:19" x14ac:dyDescent="0.25">
      <c r="A2" s="228" t="s">
        <v>73</v>
      </c>
      <c r="B2" s="228">
        <v>1.1000000000000001</v>
      </c>
    </row>
    <row r="3" spans="1:19" ht="26.25" x14ac:dyDescent="0.4">
      <c r="A3" s="228" t="s">
        <v>89</v>
      </c>
      <c r="B3" s="228">
        <v>1</v>
      </c>
      <c r="D3" s="295"/>
      <c r="H3" s="296" t="s">
        <v>642</v>
      </c>
    </row>
    <row r="4" spans="1:19" ht="26.25" x14ac:dyDescent="0.4">
      <c r="A4" s="228" t="s">
        <v>90</v>
      </c>
      <c r="B4" s="228">
        <v>3</v>
      </c>
      <c r="D4" s="295"/>
      <c r="H4" s="296" t="s">
        <v>598</v>
      </c>
    </row>
    <row r="5" spans="1:19" ht="26.25" x14ac:dyDescent="0.4">
      <c r="A5" s="228" t="s">
        <v>91</v>
      </c>
      <c r="B5" s="228">
        <v>118</v>
      </c>
      <c r="D5" s="295"/>
      <c r="H5" s="232" t="s">
        <v>701</v>
      </c>
    </row>
    <row r="6" spans="1:19" x14ac:dyDescent="0.25">
      <c r="A6" s="228" t="s">
        <v>92</v>
      </c>
      <c r="B6" s="228">
        <v>16</v>
      </c>
      <c r="D6" s="295"/>
    </row>
    <row r="7" spans="1:19" ht="21" x14ac:dyDescent="0.35">
      <c r="A7" s="228" t="s">
        <v>94</v>
      </c>
      <c r="B7" s="228" t="b">
        <f>NOT(IsCalculationTool)</f>
        <v>1</v>
      </c>
      <c r="D7" s="297" t="s">
        <v>641</v>
      </c>
      <c r="G7" s="345" t="s">
        <v>703</v>
      </c>
      <c r="H7" s="345"/>
      <c r="J7" s="346"/>
      <c r="K7" s="346"/>
      <c r="L7" s="37"/>
      <c r="M7" s="335"/>
    </row>
    <row r="8" spans="1:19" x14ac:dyDescent="0.25">
      <c r="A8" s="228" t="s">
        <v>96</v>
      </c>
      <c r="B8" s="228" t="b">
        <v>1</v>
      </c>
      <c r="D8" s="295"/>
      <c r="J8" s="346"/>
      <c r="K8" s="346"/>
      <c r="L8" s="3"/>
      <c r="M8" s="336"/>
    </row>
    <row r="9" spans="1:19" x14ac:dyDescent="0.25">
      <c r="A9" s="298" t="s">
        <v>434</v>
      </c>
      <c r="B9" s="299" t="b">
        <v>0</v>
      </c>
      <c r="J9" s="3"/>
      <c r="K9" s="3"/>
      <c r="L9" s="3"/>
      <c r="M9" s="336"/>
    </row>
    <row r="10" spans="1:19" x14ac:dyDescent="0.25">
      <c r="D10" s="295"/>
      <c r="J10" s="3"/>
      <c r="K10" s="3"/>
      <c r="L10" s="3"/>
      <c r="M10" s="337"/>
    </row>
    <row r="11" spans="1:19" ht="21" x14ac:dyDescent="0.35">
      <c r="D11" s="297" t="s">
        <v>392</v>
      </c>
    </row>
    <row r="12" spans="1:19" x14ac:dyDescent="0.25">
      <c r="D12" s="295"/>
    </row>
    <row r="13" spans="1:19" x14ac:dyDescent="0.25">
      <c r="D13" s="295"/>
    </row>
    <row r="14" spans="1:19" x14ac:dyDescent="0.25"/>
    <row r="15" spans="1:19" x14ac:dyDescent="0.25">
      <c r="S15" s="300"/>
    </row>
    <row r="16" spans="1:19" x14ac:dyDescent="0.25"/>
    <row r="17" spans="4:5" x14ac:dyDescent="0.25"/>
    <row r="18" spans="4:5" x14ac:dyDescent="0.25">
      <c r="E18" s="301"/>
    </row>
    <row r="19" spans="4:5" x14ac:dyDescent="0.25">
      <c r="E19" s="301"/>
    </row>
    <row r="20" spans="4:5" x14ac:dyDescent="0.25">
      <c r="E20" s="301"/>
    </row>
    <row r="21" spans="4:5" ht="21.75" customHeight="1" x14ac:dyDescent="0.25">
      <c r="E21" s="301"/>
    </row>
    <row r="22" spans="4:5" x14ac:dyDescent="0.25">
      <c r="E22" s="301"/>
    </row>
    <row r="23" spans="4:5" ht="21" x14ac:dyDescent="0.35">
      <c r="D23" s="297" t="s">
        <v>636</v>
      </c>
      <c r="E23" s="301"/>
    </row>
    <row r="24" spans="4:5" ht="21" x14ac:dyDescent="0.35">
      <c r="D24" s="297"/>
      <c r="E24" s="301"/>
    </row>
    <row r="25" spans="4:5" ht="21" x14ac:dyDescent="0.35">
      <c r="D25" s="297"/>
      <c r="E25" s="301"/>
    </row>
    <row r="26" spans="4:5" ht="21" x14ac:dyDescent="0.35">
      <c r="D26" s="297"/>
      <c r="E26" s="301"/>
    </row>
    <row r="27" spans="4:5" ht="21" x14ac:dyDescent="0.35">
      <c r="D27" s="297"/>
      <c r="E27" s="301"/>
    </row>
    <row r="28" spans="4:5" ht="21" x14ac:dyDescent="0.35">
      <c r="D28" s="297"/>
      <c r="E28" s="301"/>
    </row>
    <row r="29" spans="4:5" ht="21" x14ac:dyDescent="0.35">
      <c r="D29" s="297"/>
      <c r="E29" s="301"/>
    </row>
    <row r="30" spans="4:5" ht="21" x14ac:dyDescent="0.35">
      <c r="D30" s="297"/>
      <c r="E30" s="301"/>
    </row>
    <row r="31" spans="4:5" ht="21" x14ac:dyDescent="0.35">
      <c r="D31" s="297"/>
      <c r="E31" s="301"/>
    </row>
    <row r="32" spans="4:5" ht="21" x14ac:dyDescent="0.35">
      <c r="D32" s="297"/>
      <c r="E32" s="301"/>
    </row>
    <row r="33" spans="4:8" x14ac:dyDescent="0.25">
      <c r="D33" s="302"/>
      <c r="E33" s="301"/>
    </row>
    <row r="34" spans="4:8" x14ac:dyDescent="0.25">
      <c r="D34" s="295" t="s">
        <v>352</v>
      </c>
    </row>
    <row r="35" spans="4:8" x14ac:dyDescent="0.25">
      <c r="G35" s="303"/>
      <c r="H35" s="303"/>
    </row>
    <row r="36" spans="4:8" x14ac:dyDescent="0.25">
      <c r="E36" s="304"/>
      <c r="F36" s="295" t="s">
        <v>66</v>
      </c>
      <c r="G36" s="303"/>
      <c r="H36" s="303"/>
    </row>
    <row r="37" spans="4:8" x14ac:dyDescent="0.25">
      <c r="E37" s="305"/>
      <c r="F37" s="295" t="s">
        <v>67</v>
      </c>
      <c r="G37" s="303"/>
      <c r="H37" s="303"/>
    </row>
    <row r="38" spans="4:8" x14ac:dyDescent="0.25">
      <c r="E38" s="306"/>
      <c r="F38" s="295" t="s">
        <v>68</v>
      </c>
      <c r="G38" s="303"/>
      <c r="H38" s="303"/>
    </row>
    <row r="39" spans="4:8" x14ac:dyDescent="0.25">
      <c r="D39" s="233"/>
      <c r="E39" s="233"/>
      <c r="F39" s="233"/>
      <c r="G39" s="233"/>
      <c r="H39" s="303"/>
    </row>
    <row r="40" spans="4:8" x14ac:dyDescent="0.25">
      <c r="D40" s="295"/>
    </row>
    <row r="41" spans="4:8" ht="21" x14ac:dyDescent="0.35">
      <c r="D41" s="297" t="s">
        <v>453</v>
      </c>
    </row>
    <row r="42" spans="4:8" x14ac:dyDescent="0.25">
      <c r="D42" s="295"/>
    </row>
    <row r="43" spans="4:8" x14ac:dyDescent="0.25">
      <c r="D43" s="295"/>
    </row>
    <row r="44" spans="4:8" x14ac:dyDescent="0.25">
      <c r="D44" s="295"/>
    </row>
    <row r="45" spans="4:8" ht="18.75" x14ac:dyDescent="0.3">
      <c r="D45" s="295"/>
      <c r="E45" s="307" t="s">
        <v>142</v>
      </c>
    </row>
    <row r="46" spans="4:8" x14ac:dyDescent="0.25">
      <c r="D46" s="295"/>
    </row>
    <row r="47" spans="4:8" ht="18.75" x14ac:dyDescent="0.3">
      <c r="D47" s="295"/>
      <c r="E47" s="308" t="s">
        <v>643</v>
      </c>
    </row>
    <row r="48" spans="4:8" x14ac:dyDescent="0.25">
      <c r="D48" s="295"/>
    </row>
    <row r="49" spans="4:15" ht="18.75" x14ac:dyDescent="0.3">
      <c r="D49" s="295"/>
      <c r="E49" s="309" t="s">
        <v>143</v>
      </c>
    </row>
    <row r="50" spans="4:15" x14ac:dyDescent="0.25">
      <c r="D50" s="295"/>
      <c r="O50" s="302"/>
    </row>
    <row r="51" spans="4:15" ht="18.75" x14ac:dyDescent="0.3">
      <c r="D51" s="295"/>
      <c r="E51" s="309" t="s">
        <v>637</v>
      </c>
    </row>
    <row r="52" spans="4:15" x14ac:dyDescent="0.25">
      <c r="D52" s="295"/>
    </row>
    <row r="53" spans="4:15" ht="14.25" customHeight="1" x14ac:dyDescent="0.3">
      <c r="D53" s="295"/>
      <c r="E53" s="309" t="s">
        <v>638</v>
      </c>
    </row>
    <row r="54" spans="4:15" ht="14.25" customHeight="1" x14ac:dyDescent="0.3">
      <c r="D54" s="295"/>
      <c r="E54" s="309"/>
    </row>
    <row r="55" spans="4:15" ht="14.25" customHeight="1" x14ac:dyDescent="0.3">
      <c r="D55" s="295"/>
      <c r="E55" s="309"/>
    </row>
    <row r="56" spans="4:15" ht="14.25" customHeight="1" x14ac:dyDescent="0.3">
      <c r="D56" s="295"/>
      <c r="E56" s="309"/>
      <c r="F56" s="302"/>
    </row>
    <row r="57" spans="4:15" ht="14.25" customHeight="1" x14ac:dyDescent="0.3">
      <c r="D57" s="295"/>
      <c r="E57" s="309"/>
    </row>
    <row r="58" spans="4:15" ht="14.25" customHeight="1" x14ac:dyDescent="0.3">
      <c r="D58" s="295"/>
      <c r="E58" s="309"/>
      <c r="F58" s="310" t="s">
        <v>144</v>
      </c>
      <c r="G58" s="302"/>
    </row>
    <row r="59" spans="4:15" ht="14.25" customHeight="1" x14ac:dyDescent="0.3">
      <c r="D59" s="295"/>
      <c r="E59" s="309"/>
      <c r="F59" s="311" t="s">
        <v>354</v>
      </c>
      <c r="G59" s="302"/>
    </row>
    <row r="60" spans="4:15" ht="14.25" customHeight="1" x14ac:dyDescent="0.3">
      <c r="D60" s="295"/>
      <c r="E60" s="309"/>
      <c r="F60" s="310"/>
      <c r="G60" s="302"/>
    </row>
    <row r="61" spans="4:15" ht="14.25" customHeight="1" x14ac:dyDescent="0.3">
      <c r="D61" s="295"/>
      <c r="E61" s="309"/>
      <c r="F61" s="310" t="s">
        <v>145</v>
      </c>
      <c r="G61" s="302"/>
    </row>
    <row r="62" spans="4:15" ht="14.25" customHeight="1" x14ac:dyDescent="0.3">
      <c r="D62" s="295"/>
      <c r="E62" s="309"/>
      <c r="F62" s="310"/>
      <c r="G62" s="302"/>
    </row>
    <row r="63" spans="4:15" x14ac:dyDescent="0.25">
      <c r="D63" s="295"/>
    </row>
    <row r="64" spans="4:15" x14ac:dyDescent="0.25">
      <c r="D64" s="295"/>
    </row>
    <row r="65" spans="4:5" x14ac:dyDescent="0.25">
      <c r="D65" s="295"/>
    </row>
    <row r="66" spans="4:5" x14ac:dyDescent="0.25">
      <c r="D66" s="295"/>
    </row>
    <row r="67" spans="4:5" x14ac:dyDescent="0.25">
      <c r="D67" s="295"/>
    </row>
    <row r="68" spans="4:5" x14ac:dyDescent="0.25">
      <c r="D68" s="295"/>
    </row>
    <row r="69" spans="4:5" ht="18.75" x14ac:dyDescent="0.3">
      <c r="D69" s="295"/>
      <c r="E69" s="309" t="s">
        <v>639</v>
      </c>
    </row>
    <row r="70" spans="4:5" x14ac:dyDescent="0.25">
      <c r="D70" s="295"/>
    </row>
    <row r="71" spans="4:5" x14ac:dyDescent="0.25">
      <c r="D71" s="295"/>
    </row>
    <row r="72" spans="4:5" x14ac:dyDescent="0.25">
      <c r="D72" s="295"/>
    </row>
    <row r="73" spans="4:5" x14ac:dyDescent="0.25">
      <c r="D73" s="295"/>
    </row>
    <row r="74" spans="4:5" x14ac:dyDescent="0.25">
      <c r="D74" s="295"/>
    </row>
    <row r="75" spans="4:5" x14ac:dyDescent="0.25">
      <c r="D75" s="295"/>
    </row>
    <row r="76" spans="4:5" x14ac:dyDescent="0.25">
      <c r="D76" s="295"/>
    </row>
    <row r="77" spans="4:5" x14ac:dyDescent="0.25">
      <c r="D77" s="295"/>
    </row>
    <row r="78" spans="4:5" x14ac:dyDescent="0.25">
      <c r="D78" s="295"/>
    </row>
    <row r="79" spans="4:5" x14ac:dyDescent="0.25">
      <c r="D79" s="295"/>
    </row>
    <row r="80" spans="4:5" x14ac:dyDescent="0.25">
      <c r="D80" s="295"/>
    </row>
    <row r="81" spans="4:5" x14ac:dyDescent="0.25">
      <c r="D81" s="295"/>
    </row>
    <row r="82" spans="4:5" ht="18.75" x14ac:dyDescent="0.3">
      <c r="D82" s="295"/>
      <c r="E82" s="309" t="s">
        <v>640</v>
      </c>
    </row>
    <row r="83" spans="4:5" ht="18.75" x14ac:dyDescent="0.3">
      <c r="D83" s="295"/>
      <c r="E83" s="309"/>
    </row>
    <row r="84" spans="4:5" ht="18.75" x14ac:dyDescent="0.3">
      <c r="D84" s="295"/>
      <c r="E84" s="309"/>
    </row>
    <row r="85" spans="4:5" ht="18.75" x14ac:dyDescent="0.3">
      <c r="D85" s="295"/>
      <c r="E85" s="309"/>
    </row>
    <row r="86" spans="4:5" ht="18.75" x14ac:dyDescent="0.3">
      <c r="D86" s="295"/>
      <c r="E86" s="309"/>
    </row>
    <row r="87" spans="4:5" ht="18.75" x14ac:dyDescent="0.3">
      <c r="D87" s="295"/>
      <c r="E87" s="309"/>
    </row>
    <row r="88" spans="4:5" ht="18.75" x14ac:dyDescent="0.3">
      <c r="D88" s="295"/>
      <c r="E88" s="309"/>
    </row>
    <row r="89" spans="4:5" ht="18.75" x14ac:dyDescent="0.3">
      <c r="D89" s="295"/>
      <c r="E89" s="309"/>
    </row>
    <row r="90" spans="4:5" ht="18.75" x14ac:dyDescent="0.3">
      <c r="D90" s="295"/>
      <c r="E90" s="309"/>
    </row>
    <row r="91" spans="4:5" ht="18.75" x14ac:dyDescent="0.3">
      <c r="D91" s="295"/>
      <c r="E91" s="309"/>
    </row>
    <row r="92" spans="4:5" ht="18.75" x14ac:dyDescent="0.3">
      <c r="D92" s="295"/>
      <c r="E92" s="309"/>
    </row>
    <row r="93" spans="4:5" ht="18.75" x14ac:dyDescent="0.3">
      <c r="D93" s="295"/>
      <c r="E93" s="309" t="s">
        <v>452</v>
      </c>
    </row>
    <row r="94" spans="4:5" ht="18.75" x14ac:dyDescent="0.3">
      <c r="D94" s="295"/>
      <c r="E94" s="309"/>
    </row>
    <row r="95" spans="4:5" ht="18.75" x14ac:dyDescent="0.3">
      <c r="D95" s="295"/>
      <c r="E95" s="309"/>
    </row>
    <row r="96" spans="4:5" ht="18.75" x14ac:dyDescent="0.3">
      <c r="D96" s="295"/>
      <c r="E96" s="309"/>
    </row>
    <row r="97" spans="4:5" ht="18.75" x14ac:dyDescent="0.3">
      <c r="D97" s="295"/>
      <c r="E97" s="309"/>
    </row>
    <row r="98" spans="4:5" ht="18.75" x14ac:dyDescent="0.3">
      <c r="D98" s="295"/>
      <c r="E98" s="309"/>
    </row>
    <row r="99" spans="4:5" ht="18.75" x14ac:dyDescent="0.3">
      <c r="D99" s="295"/>
      <c r="E99" s="309"/>
    </row>
    <row r="100" spans="4:5" ht="18.75" x14ac:dyDescent="0.3">
      <c r="D100" s="295"/>
      <c r="E100" s="309"/>
    </row>
    <row r="101" spans="4:5" ht="18.75" x14ac:dyDescent="0.3">
      <c r="D101" s="295"/>
      <c r="E101" s="309"/>
    </row>
    <row r="102" spans="4:5" ht="18.75" x14ac:dyDescent="0.3">
      <c r="D102" s="295"/>
      <c r="E102" s="309"/>
    </row>
    <row r="103" spans="4:5" ht="18.75" x14ac:dyDescent="0.3">
      <c r="D103" s="295"/>
      <c r="E103" s="309"/>
    </row>
    <row r="104" spans="4:5" ht="18.75" x14ac:dyDescent="0.3">
      <c r="D104" s="295"/>
      <c r="E104" s="309"/>
    </row>
    <row r="105" spans="4:5" ht="18.75" x14ac:dyDescent="0.3">
      <c r="D105" s="295"/>
      <c r="E105" s="309"/>
    </row>
    <row r="106" spans="4:5" ht="18.75" x14ac:dyDescent="0.3">
      <c r="D106" s="295"/>
      <c r="E106" s="309"/>
    </row>
    <row r="107" spans="4:5" ht="18.75" x14ac:dyDescent="0.3">
      <c r="D107" s="295"/>
      <c r="E107" s="309"/>
    </row>
    <row r="108" spans="4:5" x14ac:dyDescent="0.25"/>
    <row r="109" spans="4:5" x14ac:dyDescent="0.25"/>
    <row r="110" spans="4:5" x14ac:dyDescent="0.25"/>
    <row r="111" spans="4:5" ht="37.5" customHeight="1" x14ac:dyDescent="0.25"/>
    <row r="112" spans="4:5" x14ac:dyDescent="0.25"/>
    <row r="113" spans="4:4" ht="21" x14ac:dyDescent="0.35">
      <c r="D113" s="297" t="s">
        <v>454</v>
      </c>
    </row>
    <row r="114" spans="4:4" x14ac:dyDescent="0.25"/>
    <row r="115" spans="4:4" x14ac:dyDescent="0.25"/>
    <row r="116" spans="4:4" x14ac:dyDescent="0.25"/>
    <row r="117" spans="4:4" x14ac:dyDescent="0.25"/>
    <row r="118" spans="4:4" x14ac:dyDescent="0.25"/>
  </sheetData>
  <sheetProtection algorithmName="SHA-512" hashValue="P7D73ujHdmYSSroBirgQ/e7Bs07E3MoXsLrTWC5VmuQyTXJXPzznzKYKuqC6Xu45WDIdAV3KbEOb0iyW//zpag==" saltValue="K8CxDByXqUZQ5+mcFkFIPg==" spinCount="100000" sheet="1" objects="1" scenarios="1"/>
  <mergeCells count="2">
    <mergeCell ref="G7:H7"/>
    <mergeCell ref="J7:K8"/>
  </mergeCells>
  <pageMargins left="0.7" right="0.7" top="0.75" bottom="0.75" header="0.3" footer="0.3"/>
  <pageSetup paperSize="9" scale="84"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FF00"/>
  </sheetPr>
  <dimension ref="A1:H38"/>
  <sheetViews>
    <sheetView topLeftCell="C2" zoomScaleNormal="100" workbookViewId="0">
      <selection activeCell="E13" sqref="E13:G13"/>
    </sheetView>
  </sheetViews>
  <sheetFormatPr defaultColWidth="0" defaultRowHeight="15" zeroHeight="1" x14ac:dyDescent="0.25"/>
  <cols>
    <col min="1" max="1" width="23" style="89" hidden="1" customWidth="1"/>
    <col min="2" max="2" width="17.42578125" style="89" hidden="1" customWidth="1"/>
    <col min="3" max="3" width="9.140625" style="90" customWidth="1"/>
    <col min="4" max="4" width="71.5703125" style="90" customWidth="1"/>
    <col min="5" max="5" width="18" style="90" customWidth="1"/>
    <col min="6" max="6" width="9.140625" style="90" customWidth="1"/>
    <col min="7" max="7" width="29.7109375" style="90" customWidth="1"/>
    <col min="8" max="8" width="4.42578125" style="90" customWidth="1"/>
    <col min="9" max="16384" width="9.140625" style="90" hidden="1"/>
  </cols>
  <sheetData>
    <row r="1" spans="1:7" s="89" customFormat="1" hidden="1" x14ac:dyDescent="0.25">
      <c r="A1" s="89" t="s">
        <v>71</v>
      </c>
      <c r="B1" s="89" t="s">
        <v>72</v>
      </c>
    </row>
    <row r="2" spans="1:7" x14ac:dyDescent="0.25">
      <c r="A2" s="89" t="s">
        <v>73</v>
      </c>
      <c r="B2" s="89">
        <v>1.1000000000000001</v>
      </c>
      <c r="C2" s="91"/>
      <c r="D2" s="91"/>
    </row>
    <row r="3" spans="1:7" x14ac:dyDescent="0.25">
      <c r="A3" s="89" t="s">
        <v>89</v>
      </c>
      <c r="B3" s="89">
        <v>2</v>
      </c>
      <c r="C3" s="91"/>
      <c r="D3" s="91"/>
    </row>
    <row r="4" spans="1:7" ht="26.25" x14ac:dyDescent="0.4">
      <c r="A4" s="89" t="s">
        <v>90</v>
      </c>
      <c r="B4" s="89">
        <v>3</v>
      </c>
      <c r="C4" s="91"/>
      <c r="D4" s="91"/>
      <c r="E4" s="92" t="s">
        <v>25</v>
      </c>
    </row>
    <row r="5" spans="1:7" x14ac:dyDescent="0.25">
      <c r="A5" s="89" t="s">
        <v>91</v>
      </c>
      <c r="B5" s="89">
        <v>35</v>
      </c>
      <c r="C5" s="91"/>
      <c r="D5" s="91"/>
    </row>
    <row r="6" spans="1:7" x14ac:dyDescent="0.25">
      <c r="A6" s="89" t="s">
        <v>92</v>
      </c>
      <c r="B6" s="89">
        <v>8</v>
      </c>
      <c r="C6" s="91"/>
      <c r="D6" s="91"/>
    </row>
    <row r="7" spans="1:7" x14ac:dyDescent="0.25">
      <c r="A7" s="118" t="s">
        <v>94</v>
      </c>
      <c r="B7" s="89" t="b">
        <f>NOT(IsCalculationTool)</f>
        <v>1</v>
      </c>
    </row>
    <row r="8" spans="1:7" ht="18.75" x14ac:dyDescent="0.3">
      <c r="A8" s="89" t="s">
        <v>96</v>
      </c>
      <c r="B8" s="89" t="b">
        <v>1</v>
      </c>
      <c r="D8" s="349" t="s">
        <v>25</v>
      </c>
      <c r="E8" s="349"/>
      <c r="F8" s="349"/>
      <c r="G8" s="349"/>
    </row>
    <row r="9" spans="1:7" x14ac:dyDescent="0.25">
      <c r="A9" s="89" t="s">
        <v>434</v>
      </c>
      <c r="B9" s="119" t="b">
        <v>0</v>
      </c>
      <c r="D9" s="95"/>
      <c r="E9" s="95"/>
      <c r="F9" s="95"/>
      <c r="G9" s="95"/>
    </row>
    <row r="10" spans="1:7" x14ac:dyDescent="0.25">
      <c r="D10" s="95" t="s">
        <v>26</v>
      </c>
      <c r="E10" s="356"/>
      <c r="F10" s="356"/>
      <c r="G10" s="356"/>
    </row>
    <row r="11" spans="1:7" x14ac:dyDescent="0.25">
      <c r="D11" s="95" t="s">
        <v>69</v>
      </c>
      <c r="E11" s="356"/>
      <c r="F11" s="356"/>
      <c r="G11" s="356"/>
    </row>
    <row r="12" spans="1:7" x14ac:dyDescent="0.25">
      <c r="D12" s="95" t="s">
        <v>28</v>
      </c>
      <c r="E12" s="357" t="s">
        <v>29</v>
      </c>
      <c r="F12" s="357"/>
      <c r="G12" s="357"/>
    </row>
    <row r="13" spans="1:7" x14ac:dyDescent="0.25">
      <c r="A13" s="89" t="s">
        <v>607</v>
      </c>
      <c r="B13" s="89" t="b">
        <f>NOT(ISBLANK(Country))</f>
        <v>0</v>
      </c>
      <c r="D13" s="95" t="s">
        <v>604</v>
      </c>
      <c r="E13" s="347"/>
      <c r="F13" s="348"/>
      <c r="G13" s="348"/>
    </row>
    <row r="14" spans="1:7" x14ac:dyDescent="0.25">
      <c r="D14" s="95" t="s">
        <v>606</v>
      </c>
      <c r="E14" s="354" t="str">
        <f>IF(ISBLANK(Country),"[Country missing - Please Select Country of authorisation]",INDEX(tblCountry[Abbreviation],MATCH($E$13,tblCountry[Country],0)))</f>
        <v>[Country missing - Please Select Country of authorisation]</v>
      </c>
      <c r="F14" s="354"/>
      <c r="G14" s="354"/>
    </row>
    <row r="15" spans="1:7" x14ac:dyDescent="0.25">
      <c r="D15" s="95" t="s">
        <v>30</v>
      </c>
      <c r="E15" s="354" t="str">
        <f>IF(ISBLANK(Country),"[Country missing - Please Select Country of authorisation]",INDEX(tblCountry[Currency],MATCH($E$13,tblCountry[Country],0)))</f>
        <v>[Country missing - Please Select Country of authorisation]</v>
      </c>
      <c r="F15" s="354"/>
      <c r="G15" s="354"/>
    </row>
    <row r="16" spans="1:7" x14ac:dyDescent="0.25">
      <c r="D16" s="95" t="s">
        <v>31</v>
      </c>
      <c r="E16" s="356"/>
      <c r="F16" s="356"/>
      <c r="G16" s="356"/>
    </row>
    <row r="17" spans="1:7" x14ac:dyDescent="0.25">
      <c r="D17" s="95" t="s">
        <v>32</v>
      </c>
      <c r="E17" s="356"/>
      <c r="F17" s="356"/>
      <c r="G17" s="356"/>
    </row>
    <row r="18" spans="1:7" x14ac:dyDescent="0.25">
      <c r="A18" s="89" t="s">
        <v>608</v>
      </c>
      <c r="B18" s="89" t="b">
        <f>LEN(ParticipantID)=6</f>
        <v>0</v>
      </c>
      <c r="D18" s="95" t="s">
        <v>603</v>
      </c>
      <c r="E18" s="350"/>
      <c r="F18" s="351"/>
      <c r="G18" s="352"/>
    </row>
    <row r="19" spans="1:7" x14ac:dyDescent="0.25">
      <c r="D19" s="95" t="s">
        <v>634</v>
      </c>
      <c r="E19" s="353" t="str">
        <f>IF(ISBLANK(Country),"[Country code missing]",CountryAbbrev) &amp; "-" &amp;IF(ISBLANK(ParticipantID),"[Participant ID missing]",ParticipantID)</f>
        <v>[Country code missing]-[Participant ID missing]</v>
      </c>
      <c r="F19" s="353" t="e">
        <f>IF(ISBLANK(ParticipantInfo.Country),"[Country code missing]",ParticipantInfo.CountryCode) &amp; "-" &amp;IF(ISBLANK(ParticipantInfo.ParticipantID),"[Participant ID missing]",ParticipantInfo.ParticipantID)</f>
        <v>#NAME?</v>
      </c>
      <c r="G19" s="353" t="e">
        <f>IF(ISBLANK(ParticipantInfo.Country),"[Country code missing]",ParticipantInfo.CountryCode) &amp; "-" &amp;IF(ISBLANK(ParticipantInfo.ParticipantID),"[Participant ID missing]",ParticipantInfo.ParticipantID)</f>
        <v>#NAME?</v>
      </c>
    </row>
    <row r="20" spans="1:7" x14ac:dyDescent="0.25"/>
    <row r="21" spans="1:7" ht="18.75" x14ac:dyDescent="0.3">
      <c r="A21" s="89" t="s">
        <v>609</v>
      </c>
      <c r="B21" s="89" t="b">
        <f>AND(B13,B18)</f>
        <v>0</v>
      </c>
      <c r="D21" s="349" t="s">
        <v>33</v>
      </c>
      <c r="E21" s="349"/>
      <c r="F21" s="349"/>
      <c r="G21" s="349"/>
    </row>
    <row r="22" spans="1:7" ht="18.75" x14ac:dyDescent="0.3">
      <c r="D22" s="120"/>
      <c r="E22" s="120"/>
      <c r="F22" s="120"/>
      <c r="G22" s="120"/>
    </row>
    <row r="23" spans="1:7" x14ac:dyDescent="0.25">
      <c r="D23" s="95" t="s">
        <v>34</v>
      </c>
      <c r="E23" s="355" t="s">
        <v>27</v>
      </c>
      <c r="F23" s="355"/>
      <c r="G23" s="355"/>
    </row>
    <row r="24" spans="1:7" x14ac:dyDescent="0.25">
      <c r="D24" s="95" t="s">
        <v>35</v>
      </c>
      <c r="E24" s="355" t="s">
        <v>27</v>
      </c>
      <c r="F24" s="355"/>
      <c r="G24" s="355"/>
    </row>
    <row r="25" spans="1:7" x14ac:dyDescent="0.25">
      <c r="D25" s="95" t="s">
        <v>36</v>
      </c>
      <c r="E25" s="355" t="s">
        <v>27</v>
      </c>
      <c r="F25" s="355"/>
      <c r="G25" s="355"/>
    </row>
    <row r="26" spans="1:7" x14ac:dyDescent="0.25">
      <c r="D26" s="95" t="s">
        <v>37</v>
      </c>
      <c r="E26" s="355" t="s">
        <v>27</v>
      </c>
      <c r="F26" s="355"/>
      <c r="G26" s="355"/>
    </row>
    <row r="27" spans="1:7" x14ac:dyDescent="0.25">
      <c r="D27" s="95" t="s">
        <v>38</v>
      </c>
      <c r="E27" s="355" t="s">
        <v>27</v>
      </c>
      <c r="F27" s="355"/>
      <c r="G27" s="355"/>
    </row>
    <row r="28" spans="1:7" x14ac:dyDescent="0.25">
      <c r="D28" s="95"/>
      <c r="E28" s="121"/>
      <c r="F28" s="121"/>
      <c r="G28" s="121"/>
    </row>
    <row r="29" spans="1:7" x14ac:dyDescent="0.25">
      <c r="D29" s="95" t="s">
        <v>39</v>
      </c>
      <c r="E29" s="355" t="s">
        <v>27</v>
      </c>
      <c r="F29" s="355"/>
      <c r="G29" s="355"/>
    </row>
    <row r="30" spans="1:7" x14ac:dyDescent="0.25">
      <c r="D30" s="95" t="s">
        <v>35</v>
      </c>
      <c r="E30" s="355" t="s">
        <v>27</v>
      </c>
      <c r="F30" s="355"/>
      <c r="G30" s="355"/>
    </row>
    <row r="31" spans="1:7" x14ac:dyDescent="0.25">
      <c r="D31" s="95" t="s">
        <v>36</v>
      </c>
      <c r="E31" s="355" t="s">
        <v>27</v>
      </c>
      <c r="F31" s="355"/>
      <c r="G31" s="355"/>
    </row>
    <row r="32" spans="1:7" x14ac:dyDescent="0.25">
      <c r="D32" s="95" t="s">
        <v>37</v>
      </c>
      <c r="E32" s="355" t="s">
        <v>27</v>
      </c>
      <c r="F32" s="355"/>
      <c r="G32" s="355"/>
    </row>
    <row r="33" spans="4:7" x14ac:dyDescent="0.25">
      <c r="D33" s="95" t="s">
        <v>38</v>
      </c>
      <c r="E33" s="355" t="s">
        <v>27</v>
      </c>
      <c r="F33" s="355"/>
      <c r="G33" s="355"/>
    </row>
    <row r="34" spans="4:7" x14ac:dyDescent="0.25"/>
    <row r="35" spans="4:7" x14ac:dyDescent="0.25"/>
    <row r="36" spans="4:7" hidden="1" x14ac:dyDescent="0.25"/>
    <row r="37" spans="4:7" hidden="1" x14ac:dyDescent="0.25"/>
    <row r="38" spans="4:7" hidden="1" x14ac:dyDescent="0.25">
      <c r="E38" s="122"/>
    </row>
  </sheetData>
  <sheetProtection algorithmName="SHA-512" hashValue="yC7Z1VvDb7xQDiV0AUDlV85U9wxvuUzDWZ6dsHi6lcTBIAT+jA1bdoJOdx27TuWtRllum228WhwxDl/vaXTpTQ==" saltValue="2HwJ2QYJdcp3ybhgZOxCjQ==" spinCount="100000" sheet="1" objects="1" scenarios="1"/>
  <dataConsolidate link="1"/>
  <mergeCells count="22">
    <mergeCell ref="E30:G30"/>
    <mergeCell ref="E31:G31"/>
    <mergeCell ref="E32:G32"/>
    <mergeCell ref="E33:G33"/>
    <mergeCell ref="D8:G8"/>
    <mergeCell ref="E23:G23"/>
    <mergeCell ref="E24:G24"/>
    <mergeCell ref="E25:G25"/>
    <mergeCell ref="E29:G29"/>
    <mergeCell ref="E26:G26"/>
    <mergeCell ref="E27:G27"/>
    <mergeCell ref="E10:G10"/>
    <mergeCell ref="E11:G11"/>
    <mergeCell ref="E12:G12"/>
    <mergeCell ref="E16:G16"/>
    <mergeCell ref="E17:G17"/>
    <mergeCell ref="E13:G13"/>
    <mergeCell ref="D21:G21"/>
    <mergeCell ref="E18:G18"/>
    <mergeCell ref="E19:G19"/>
    <mergeCell ref="E15:G15"/>
    <mergeCell ref="E14:G14"/>
  </mergeCells>
  <dataValidations count="2">
    <dataValidation type="list" allowBlank="1" showInputMessage="1" showErrorMessage="1" sqref="E13">
      <formula1>Countries</formula1>
    </dataValidation>
    <dataValidation type="textLength" operator="equal" allowBlank="1" showInputMessage="1" showErrorMessage="1" errorTitle="Unique participant code" error="The code must be 6 letters and/or digits." promptTitle="Unique participant ID code" prompt="NSAs need to assign and distribute a unique code to every participant before submitting to EIOPA. The particiapant ID code must be unique on a national level. It must be 6 letters or digits (may contain numbers and letters)." sqref="E18:G18">
      <formula1>6</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00"/>
  </sheetPr>
  <dimension ref="A1:Z51"/>
  <sheetViews>
    <sheetView topLeftCell="C2" zoomScaleNormal="100" workbookViewId="0">
      <selection activeCell="I12" sqref="I12"/>
    </sheetView>
  </sheetViews>
  <sheetFormatPr defaultColWidth="0" defaultRowHeight="15" customHeight="1" zeroHeight="1" x14ac:dyDescent="0.25"/>
  <cols>
    <col min="1" max="1" width="13.140625" style="118" hidden="1" customWidth="1"/>
    <col min="2" max="2" width="16.5703125" style="89" hidden="1" customWidth="1"/>
    <col min="3" max="3" width="9.140625" style="90" customWidth="1"/>
    <col min="4" max="4" width="5.28515625" style="90" customWidth="1"/>
    <col min="5" max="5" width="5" style="90" customWidth="1"/>
    <col min="6" max="6" width="15.85546875" style="90" customWidth="1"/>
    <col min="7" max="7" width="11.42578125" style="90" customWidth="1"/>
    <col min="8" max="8" width="11.28515625" style="90" customWidth="1"/>
    <col min="9" max="9" width="27.140625" style="90" customWidth="1"/>
    <col min="10" max="10" width="4.5703125" style="90" customWidth="1"/>
    <col min="11" max="11" width="9.140625" style="90" customWidth="1"/>
    <col min="12" max="12" width="5.7109375" style="90" customWidth="1"/>
    <col min="13" max="13" width="5.140625" style="90" customWidth="1"/>
    <col min="14" max="26" width="9.140625" style="90" customWidth="1"/>
    <col min="27" max="16384" width="9.140625" style="90" hidden="1"/>
  </cols>
  <sheetData>
    <row r="1" spans="1:12" s="89" customFormat="1" ht="15" hidden="1" customHeight="1" x14ac:dyDescent="0.25">
      <c r="A1" s="89" t="s">
        <v>71</v>
      </c>
      <c r="B1" s="89" t="s">
        <v>192</v>
      </c>
    </row>
    <row r="2" spans="1:12" ht="15" customHeight="1" x14ac:dyDescent="0.25">
      <c r="A2" s="118" t="s">
        <v>73</v>
      </c>
      <c r="B2" s="89">
        <v>1.1000000000000001</v>
      </c>
      <c r="F2" s="91"/>
    </row>
    <row r="3" spans="1:12" ht="15" customHeight="1" x14ac:dyDescent="0.25">
      <c r="A3" s="89" t="s">
        <v>89</v>
      </c>
      <c r="B3" s="89">
        <v>2</v>
      </c>
      <c r="F3" s="91"/>
    </row>
    <row r="4" spans="1:12" ht="26.25" x14ac:dyDescent="0.4">
      <c r="A4" s="89" t="s">
        <v>90</v>
      </c>
      <c r="B4" s="89">
        <v>3</v>
      </c>
      <c r="F4" s="91"/>
      <c r="H4" s="92" t="s">
        <v>118</v>
      </c>
    </row>
    <row r="5" spans="1:12" ht="15" customHeight="1" x14ac:dyDescent="0.25">
      <c r="A5" s="89" t="s">
        <v>91</v>
      </c>
      <c r="B5" s="89">
        <v>51</v>
      </c>
      <c r="F5" s="91"/>
    </row>
    <row r="6" spans="1:12" ht="15" customHeight="1" x14ac:dyDescent="0.25">
      <c r="A6" s="89" t="s">
        <v>92</v>
      </c>
      <c r="B6" s="89">
        <v>26</v>
      </c>
      <c r="F6" s="91"/>
    </row>
    <row r="7" spans="1:12" ht="15" customHeight="1" x14ac:dyDescent="0.25">
      <c r="A7" s="118" t="s">
        <v>94</v>
      </c>
      <c r="B7" s="89" t="b">
        <f>NOT(IsCalculationTool)</f>
        <v>1</v>
      </c>
      <c r="F7" s="91"/>
    </row>
    <row r="8" spans="1:12" x14ac:dyDescent="0.25">
      <c r="A8" s="89" t="s">
        <v>96</v>
      </c>
      <c r="B8" s="89" t="b">
        <v>1</v>
      </c>
    </row>
    <row r="9" spans="1:12" ht="18.75" x14ac:dyDescent="0.3">
      <c r="A9" s="89" t="s">
        <v>434</v>
      </c>
      <c r="B9" s="119" t="b">
        <v>0</v>
      </c>
      <c r="D9" s="349" t="s">
        <v>119</v>
      </c>
      <c r="E9" s="349"/>
      <c r="F9" s="349"/>
      <c r="G9" s="349"/>
      <c r="H9" s="349"/>
      <c r="I9" s="349"/>
      <c r="J9" s="349"/>
      <c r="L9" s="93" t="s">
        <v>157</v>
      </c>
    </row>
    <row r="10" spans="1:12" ht="15" customHeight="1" x14ac:dyDescent="0.3">
      <c r="D10" s="95"/>
      <c r="E10" s="95"/>
      <c r="F10" s="120"/>
      <c r="G10" s="120"/>
      <c r="H10" s="111"/>
      <c r="I10" s="95"/>
      <c r="J10" s="110"/>
    </row>
    <row r="11" spans="1:12" ht="15" customHeight="1" x14ac:dyDescent="0.25">
      <c r="D11" s="95"/>
      <c r="E11" s="123" t="s">
        <v>121</v>
      </c>
      <c r="F11" s="95"/>
      <c r="G11" s="95"/>
      <c r="H11" s="95"/>
      <c r="I11" s="95"/>
      <c r="J11" s="110"/>
    </row>
    <row r="12" spans="1:12" ht="15" customHeight="1" x14ac:dyDescent="0.25">
      <c r="D12" s="95"/>
      <c r="E12" s="95"/>
      <c r="F12" s="95" t="s">
        <v>359</v>
      </c>
      <c r="G12" s="95"/>
      <c r="H12" s="95"/>
      <c r="I12" s="126">
        <v>0</v>
      </c>
      <c r="J12" s="110"/>
    </row>
    <row r="13" spans="1:12" ht="15" customHeight="1" x14ac:dyDescent="0.25">
      <c r="D13" s="95"/>
      <c r="E13" s="95"/>
      <c r="F13" s="95" t="s">
        <v>360</v>
      </c>
      <c r="G13" s="95"/>
      <c r="H13" s="95"/>
      <c r="I13" s="85">
        <v>0</v>
      </c>
      <c r="J13" s="110"/>
    </row>
    <row r="14" spans="1:12" x14ac:dyDescent="0.25">
      <c r="D14" s="95"/>
      <c r="E14" s="95"/>
      <c r="F14" s="95" t="s">
        <v>120</v>
      </c>
      <c r="G14" s="95"/>
      <c r="H14" s="95"/>
      <c r="I14" s="86">
        <v>0</v>
      </c>
      <c r="J14" s="110"/>
    </row>
    <row r="15" spans="1:12" x14ac:dyDescent="0.25">
      <c r="D15" s="95"/>
      <c r="E15" s="95"/>
      <c r="F15" s="95" t="s">
        <v>361</v>
      </c>
      <c r="G15" s="95"/>
      <c r="H15" s="95"/>
      <c r="I15" s="127">
        <v>0</v>
      </c>
      <c r="J15" s="110"/>
    </row>
    <row r="16" spans="1:12" x14ac:dyDescent="0.25">
      <c r="D16" s="95"/>
      <c r="E16" s="123" t="s">
        <v>122</v>
      </c>
      <c r="F16" s="95"/>
      <c r="G16" s="95"/>
      <c r="H16" s="95"/>
      <c r="I16" s="95"/>
      <c r="J16" s="110"/>
    </row>
    <row r="17" spans="4:10" ht="15" customHeight="1" x14ac:dyDescent="0.25">
      <c r="D17" s="95"/>
      <c r="E17" s="95"/>
      <c r="F17" s="95" t="s">
        <v>360</v>
      </c>
      <c r="G17" s="95"/>
      <c r="H17" s="95"/>
      <c r="I17" s="127">
        <v>0</v>
      </c>
      <c r="J17" s="110"/>
    </row>
    <row r="18" spans="4:10" ht="15" customHeight="1" x14ac:dyDescent="0.25">
      <c r="D18" s="95"/>
      <c r="E18" s="95"/>
      <c r="F18" s="95" t="s">
        <v>120</v>
      </c>
      <c r="G18" s="95"/>
      <c r="H18" s="95"/>
      <c r="I18" s="86">
        <v>0</v>
      </c>
      <c r="J18" s="110"/>
    </row>
    <row r="19" spans="4:10" ht="15" customHeight="1" x14ac:dyDescent="0.25">
      <c r="D19" s="95"/>
      <c r="E19" s="95"/>
      <c r="F19" s="95" t="s">
        <v>361</v>
      </c>
      <c r="G19" s="95"/>
      <c r="H19" s="95"/>
      <c r="I19" s="127">
        <v>0</v>
      </c>
      <c r="J19" s="110"/>
    </row>
    <row r="20" spans="4:10" ht="15" customHeight="1" x14ac:dyDescent="0.25">
      <c r="D20" s="95"/>
      <c r="E20" s="95"/>
      <c r="F20" s="95"/>
      <c r="G20" s="95"/>
      <c r="H20" s="95"/>
      <c r="I20" s="124"/>
      <c r="J20" s="110"/>
    </row>
    <row r="21" spans="4:10" ht="15" customHeight="1" x14ac:dyDescent="0.25">
      <c r="D21" s="95"/>
      <c r="E21" s="95"/>
      <c r="F21" s="95" t="s">
        <v>602</v>
      </c>
      <c r="G21" s="95"/>
      <c r="H21" s="95"/>
      <c r="I21" s="127">
        <v>0</v>
      </c>
      <c r="J21" s="110"/>
    </row>
    <row r="22" spans="4:10" ht="15" customHeight="1" x14ac:dyDescent="0.25">
      <c r="D22" s="95"/>
      <c r="E22" s="95"/>
      <c r="F22" s="95" t="s">
        <v>358</v>
      </c>
      <c r="G22" s="95"/>
      <c r="H22" s="95"/>
      <c r="I22" s="127">
        <v>0</v>
      </c>
      <c r="J22" s="110"/>
    </row>
    <row r="23" spans="4:10" ht="15" customHeight="1" x14ac:dyDescent="0.25">
      <c r="D23" s="95"/>
      <c r="E23" s="95"/>
      <c r="F23" s="95"/>
      <c r="G23" s="95"/>
      <c r="H23" s="95"/>
      <c r="I23" s="95"/>
      <c r="J23" s="110"/>
    </row>
    <row r="24" spans="4:10" ht="15" customHeight="1" x14ac:dyDescent="0.25"/>
    <row r="25" spans="4:10" ht="15" customHeight="1" x14ac:dyDescent="0.25"/>
    <row r="26" spans="4:10" ht="15" customHeight="1" x14ac:dyDescent="0.3">
      <c r="D26" s="349" t="s">
        <v>250</v>
      </c>
      <c r="E26" s="349"/>
      <c r="F26" s="349"/>
      <c r="G26" s="349"/>
      <c r="H26" s="349"/>
      <c r="I26" s="349"/>
      <c r="J26" s="349"/>
    </row>
    <row r="27" spans="4:10" ht="34.5" customHeight="1" x14ac:dyDescent="0.25">
      <c r="D27" s="95"/>
      <c r="E27" s="358" t="s">
        <v>256</v>
      </c>
      <c r="F27" s="358"/>
      <c r="G27" s="358"/>
      <c r="H27" s="358"/>
      <c r="I27" s="358"/>
      <c r="J27" s="95"/>
    </row>
    <row r="28" spans="4:10" x14ac:dyDescent="0.25">
      <c r="D28" s="95"/>
      <c r="E28" s="125"/>
      <c r="F28" s="125"/>
      <c r="G28" s="125"/>
      <c r="H28" s="125"/>
      <c r="I28" s="125"/>
      <c r="J28" s="95"/>
    </row>
    <row r="29" spans="4:10" ht="15" customHeight="1" x14ac:dyDescent="0.25">
      <c r="D29" s="95"/>
      <c r="E29" s="95"/>
      <c r="F29" s="95" t="s">
        <v>251</v>
      </c>
      <c r="G29" s="95"/>
      <c r="H29" s="95"/>
      <c r="I29" s="116" t="s">
        <v>254</v>
      </c>
      <c r="J29" s="95"/>
    </row>
    <row r="30" spans="4:10" ht="15" customHeight="1" x14ac:dyDescent="0.25">
      <c r="D30" s="95"/>
      <c r="E30" s="95"/>
      <c r="F30" s="95"/>
      <c r="G30" s="95"/>
      <c r="H30" s="95"/>
      <c r="I30" s="95"/>
      <c r="J30" s="95"/>
    </row>
    <row r="31" spans="4:10" ht="15" customHeight="1" x14ac:dyDescent="0.25"/>
    <row r="32" spans="4:10"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sheetData>
  <sheetProtection algorithmName="SHA-512" hashValue="yUVM/ArETHj19fV2GxNRJuGwVKa9zk2VTrPKmjAGH7wOF7Ycszac3aEr0u+Lc37w2JL+QxY2JW3R+sMth/3wwg==" saltValue="o7kFsCCAbE1NvL88fPZCUg==" spinCount="100000" sheet="1" objects="1" scenarios="1" selectLockedCells="1"/>
  <mergeCells count="3">
    <mergeCell ref="D9:J9"/>
    <mergeCell ref="D26:J26"/>
    <mergeCell ref="E27:I27"/>
  </mergeCells>
  <dataValidations xWindow="699" yWindow="555" count="9">
    <dataValidation type="decimal" operator="greaterThanOrEqual" showInputMessage="1" showErrorMessage="1" errorTitle="Incorrect fixed yearly costs" error="This must be a non-negative number." promptTitle="Fixed yearly costs" prompt="This is a fixed yearly ammount that is assumed to grow with price inflation_x000a_" sqref="I12">
      <formula1>0</formula1>
    </dataValidation>
    <dataValidation type="decimal" showInputMessage="1" showErrorMessage="1" errorTitle="Incorrect cost percentage" error="This should be a percentage between 0% and 100%." promptTitle="Percentage of contributions" prompt="This is the fraction of gross contributions before other costs are deducted_x000a_" sqref="I14 I18">
      <formula1>0</formula1>
      <formula2>1</formula2>
    </dataValidation>
    <dataValidation type="list" allowBlank="1" showInputMessage="1" showErrorMessage="1" promptTitle="Pay-out options" prompt="Choose, the pay-out option from the list that is most representative for the targeted pay-out of the DC scheme." sqref="I29">
      <formula1>ListPayoutOptions</formula1>
    </dataValidation>
    <dataValidation type="decimal" showInputMessage="1" showErrorMessage="1" errorTitle="Incorrect cost percentage" error="This should be a percentage between 0% and 100%." promptTitle="Total portfolio costs" prompt="This is fraction of wealth at the end of every year before costs have been deducted." sqref="I17 I20">
      <formula1>0</formula1>
      <formula2>1</formula2>
    </dataValidation>
    <dataValidation type="decimal" allowBlank="1" showInputMessage="1" showErrorMessage="1" errorTitle="Incorrect cost percentage" error="This should be a percentage between 0% and 100%." promptTitle="Proportion of return " prompt="This part of the cost is charged as a fraction over the gross annual excess return. This cost is floored at zero, i.e. in case of no excess return no costs on this part are charged._x000a_" sqref="I21">
      <formula1>0</formula1>
      <formula2>1</formula2>
    </dataValidation>
    <dataValidation type="decimal" allowBlank="1" showInputMessage="1" showErrorMessage="1" errorTitle="Incorrect cost percentage" error="This should be a percentage between 0% and 100%." promptTitle="Return floor for investment cost" prompt="This specifies a floor to the gross return in calculating the excess return investment costs. If the gross return is higher than the floor level, than costs are calculated over the excess return only, otherwise the costs are zero." sqref="I22">
      <formula1>0</formula1>
      <formula2>1</formula2>
    </dataValidation>
    <dataValidation type="decimal" showInputMessage="1" showErrorMessage="1" errorTitle="Incorrect cost percentage" error="This should be a percentage between 0% and 100%." promptTitle="Fraction of annual wealth" prompt="This is fraction of wealth at the end of every year before costs have been deducted" sqref="I13">
      <formula1>0</formula1>
      <formula2>1</formula2>
    </dataValidation>
    <dataValidation type="decimal" showInputMessage="1" showErrorMessage="1" errorTitle="Incorrect cost percentage" error="This should be a percentage between 0% and 100%." promptTitle="Percentage of final wealth" prompt="This is fraction of final wealth at retirement date before costs have been deducted." sqref="I19">
      <formula1>0</formula1>
      <formula2>1</formula2>
    </dataValidation>
    <dataValidation type="decimal" showInputMessage="1" showErrorMessage="1" errorTitle="Incorrect cost percentage" error="This should be a percentage between 0% and 100%." promptTitle="Percentage of final wealth" prompt="This is fraction of final wealth at retirement date." sqref="I15">
      <formula1>0</formula1>
      <formula2>1</formula2>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ssetMenuSheet">
    <tabColor rgb="FFFFFF00"/>
  </sheetPr>
  <dimension ref="A1:BU51"/>
  <sheetViews>
    <sheetView topLeftCell="E4" zoomScaleNormal="100" workbookViewId="0">
      <selection activeCell="H9" sqref="H9"/>
    </sheetView>
  </sheetViews>
  <sheetFormatPr defaultColWidth="0" defaultRowHeight="15" zeroHeight="1" x14ac:dyDescent="0.25"/>
  <cols>
    <col min="1" max="1" width="20.5703125" style="89" hidden="1" customWidth="1"/>
    <col min="2" max="2" width="16.42578125" style="89" hidden="1" customWidth="1"/>
    <col min="3" max="3" width="16.5703125" style="89" hidden="1" customWidth="1"/>
    <col min="4" max="4" width="50.85546875" style="89" hidden="1" customWidth="1"/>
    <col min="5" max="5" width="4.28515625" style="90" customWidth="1"/>
    <col min="6" max="6" width="4.140625" style="90" customWidth="1"/>
    <col min="7" max="7" width="21.5703125" style="90" customWidth="1"/>
    <col min="8" max="8" width="37.140625" style="90" customWidth="1"/>
    <col min="9" max="9" width="8.5703125" style="90" customWidth="1"/>
    <col min="10" max="10" width="9.28515625" style="90" customWidth="1"/>
    <col min="11" max="11" width="15.7109375" style="90" customWidth="1"/>
    <col min="12" max="12" width="6.140625" style="90" bestFit="1" customWidth="1"/>
    <col min="13" max="13" width="4.28515625" style="90" customWidth="1"/>
    <col min="14" max="14" width="2.7109375" style="91" customWidth="1"/>
    <col min="15" max="15" width="3.28515625" style="90" customWidth="1"/>
    <col min="16" max="16" width="15.42578125" style="90" customWidth="1"/>
    <col min="17" max="17" width="10" style="90" customWidth="1"/>
    <col min="18" max="18" width="7.5703125" style="90" customWidth="1"/>
    <col min="19" max="19" width="5.5703125" style="90" customWidth="1"/>
    <col min="20" max="20" width="9.140625" style="90" customWidth="1"/>
    <col min="21" max="21" width="15.85546875" style="90" customWidth="1"/>
    <col min="22" max="22" width="9.140625" style="90" customWidth="1"/>
    <col min="23" max="24" width="17.85546875" style="90" customWidth="1"/>
    <col min="25" max="25" width="9.5703125" style="90" customWidth="1"/>
    <col min="26" max="26" width="27.42578125" style="90" hidden="1" customWidth="1"/>
    <col min="27" max="27" width="25.7109375" style="90" hidden="1" customWidth="1"/>
    <col min="28" max="28" width="19.85546875" style="90" hidden="1" customWidth="1"/>
    <col min="29" max="29" width="21.7109375" style="90" hidden="1" customWidth="1"/>
    <col min="30" max="30" width="21.85546875" style="90" hidden="1" customWidth="1"/>
    <col min="31" max="31" width="22.7109375" style="90" hidden="1" customWidth="1"/>
    <col min="32" max="32" width="20.140625" style="90" hidden="1" customWidth="1"/>
    <col min="33" max="33" width="21.140625" style="90" hidden="1" customWidth="1"/>
    <col min="34" max="34" width="19.140625" style="90" hidden="1" customWidth="1"/>
    <col min="35" max="35" width="18.5703125" style="90" hidden="1" customWidth="1"/>
    <col min="36" max="36" width="12.7109375" style="90" hidden="1" customWidth="1"/>
    <col min="37" max="37" width="14.42578125" style="90" hidden="1" customWidth="1"/>
    <col min="38" max="38" width="13.140625" style="90" hidden="1" customWidth="1"/>
    <col min="39" max="39" width="13.42578125" style="90" hidden="1" customWidth="1"/>
    <col min="40" max="41" width="16.5703125" style="90" hidden="1" customWidth="1"/>
    <col min="42" max="42" width="15.28515625" style="90" hidden="1" customWidth="1"/>
    <col min="43" max="43" width="13.28515625" style="90" hidden="1" customWidth="1"/>
    <col min="44" max="44" width="12.140625" style="90" hidden="1" customWidth="1"/>
    <col min="45" max="45" width="13.5703125" style="90" hidden="1" customWidth="1"/>
    <col min="46" max="46" width="23.140625" style="90" hidden="1" customWidth="1"/>
    <col min="47" max="48" width="9.140625" style="90" hidden="1" customWidth="1"/>
    <col min="49" max="49" width="13.85546875" style="90" hidden="1" customWidth="1"/>
    <col min="50" max="73" width="15.85546875" style="90" hidden="1" customWidth="1"/>
    <col min="74" max="16384" width="9.140625" style="90" hidden="1"/>
  </cols>
  <sheetData>
    <row r="1" spans="1:32" x14ac:dyDescent="0.25">
      <c r="A1" s="89" t="s">
        <v>71</v>
      </c>
      <c r="B1" s="89" t="s">
        <v>74</v>
      </c>
      <c r="E1" s="231"/>
      <c r="F1" s="231"/>
      <c r="G1" s="231"/>
      <c r="H1" s="231"/>
      <c r="I1" s="231"/>
      <c r="J1" s="233"/>
      <c r="K1" s="233"/>
      <c r="L1" s="233"/>
      <c r="M1" s="231"/>
      <c r="N1" s="233"/>
      <c r="O1" s="231"/>
      <c r="P1" s="231"/>
      <c r="Q1" s="231"/>
      <c r="R1" s="231"/>
      <c r="S1" s="231"/>
      <c r="T1" s="231"/>
      <c r="U1" s="231"/>
      <c r="V1" s="231"/>
      <c r="W1" s="231"/>
      <c r="X1" s="231"/>
      <c r="Y1" s="231"/>
    </row>
    <row r="2" spans="1:32" ht="15" customHeight="1" x14ac:dyDescent="0.25">
      <c r="A2" s="89" t="s">
        <v>73</v>
      </c>
      <c r="B2" s="89">
        <v>1.1000000000000001</v>
      </c>
      <c r="E2" s="231"/>
      <c r="F2" s="231"/>
      <c r="G2" s="231"/>
      <c r="H2" s="231"/>
      <c r="I2" s="231"/>
      <c r="J2" s="231"/>
      <c r="K2" s="233"/>
      <c r="L2" s="233"/>
      <c r="M2" s="231"/>
      <c r="N2" s="233"/>
      <c r="O2" s="231"/>
      <c r="P2" s="231"/>
      <c r="Q2" s="231"/>
      <c r="R2" s="231"/>
      <c r="S2" s="231"/>
      <c r="T2" s="231"/>
      <c r="U2" s="231"/>
      <c r="V2" s="231"/>
      <c r="W2" s="231"/>
      <c r="X2" s="231"/>
      <c r="Y2" s="231"/>
    </row>
    <row r="3" spans="1:32" ht="26.25" x14ac:dyDescent="0.4">
      <c r="A3" s="89" t="s">
        <v>89</v>
      </c>
      <c r="B3" s="89">
        <v>1</v>
      </c>
      <c r="E3" s="231"/>
      <c r="F3" s="231"/>
      <c r="G3" s="231"/>
      <c r="H3" s="232" t="s">
        <v>41</v>
      </c>
      <c r="I3" s="231"/>
      <c r="J3" s="231"/>
      <c r="K3" s="233"/>
      <c r="L3" s="233"/>
      <c r="M3" s="231"/>
      <c r="N3" s="233"/>
      <c r="O3" s="231"/>
      <c r="P3" s="231"/>
      <c r="Q3" s="231"/>
      <c r="R3" s="231"/>
      <c r="S3" s="231"/>
      <c r="T3" s="231"/>
      <c r="U3" s="231"/>
      <c r="V3" s="231"/>
      <c r="W3" s="231"/>
      <c r="X3" s="231"/>
      <c r="Y3" s="231"/>
    </row>
    <row r="4" spans="1:32" x14ac:dyDescent="0.25">
      <c r="A4" s="89" t="s">
        <v>90</v>
      </c>
      <c r="B4" s="89">
        <v>5</v>
      </c>
      <c r="E4" s="231"/>
      <c r="F4" s="231"/>
      <c r="G4" s="231"/>
      <c r="H4" s="231"/>
      <c r="I4" s="231"/>
      <c r="J4" s="233"/>
      <c r="K4" s="233"/>
      <c r="L4" s="233"/>
      <c r="M4" s="231"/>
      <c r="N4" s="233"/>
      <c r="O4" s="231"/>
      <c r="P4" s="231"/>
      <c r="Q4" s="231"/>
      <c r="R4" s="231"/>
      <c r="S4" s="231"/>
      <c r="T4" s="231"/>
      <c r="U4" s="231"/>
      <c r="V4" s="231"/>
      <c r="W4" s="231"/>
      <c r="X4" s="231"/>
      <c r="Y4" s="231"/>
    </row>
    <row r="5" spans="1:32" x14ac:dyDescent="0.25">
      <c r="A5" s="89" t="s">
        <v>91</v>
      </c>
      <c r="B5" s="89">
        <v>51</v>
      </c>
      <c r="E5" s="231"/>
      <c r="F5" s="231"/>
      <c r="G5" s="231"/>
      <c r="H5" s="231"/>
      <c r="I5" s="231"/>
      <c r="J5" s="233"/>
      <c r="K5" s="233"/>
      <c r="L5" s="233"/>
      <c r="M5" s="231"/>
      <c r="N5" s="233"/>
      <c r="O5" s="231"/>
      <c r="P5" s="231"/>
      <c r="Q5" s="231"/>
      <c r="R5" s="231"/>
      <c r="S5" s="231"/>
      <c r="T5" s="231"/>
      <c r="U5" s="231"/>
      <c r="V5" s="231"/>
      <c r="W5" s="231"/>
      <c r="X5" s="231"/>
      <c r="Y5" s="231"/>
    </row>
    <row r="6" spans="1:32" ht="18.75" x14ac:dyDescent="0.3">
      <c r="A6" s="89" t="s">
        <v>92</v>
      </c>
      <c r="B6" s="89">
        <v>25</v>
      </c>
      <c r="E6" s="231"/>
      <c r="F6" s="360"/>
      <c r="G6" s="360"/>
      <c r="H6" s="281"/>
      <c r="I6" s="281"/>
      <c r="J6" s="231"/>
      <c r="K6" s="231"/>
      <c r="L6" s="231"/>
      <c r="M6" s="231"/>
      <c r="N6" s="233"/>
      <c r="O6" s="231"/>
      <c r="P6" s="231"/>
      <c r="Q6" s="231"/>
      <c r="R6" s="231"/>
      <c r="S6" s="231"/>
      <c r="T6" s="231"/>
      <c r="U6" s="231"/>
      <c r="V6" s="231"/>
      <c r="W6" s="231"/>
      <c r="X6" s="231"/>
      <c r="Y6" s="231"/>
    </row>
    <row r="7" spans="1:32" ht="21" customHeight="1" x14ac:dyDescent="0.3">
      <c r="A7" s="89" t="s">
        <v>94</v>
      </c>
      <c r="B7" s="89" t="b">
        <f>NOT(IsCalculationTool)</f>
        <v>1</v>
      </c>
      <c r="E7" s="231"/>
      <c r="F7" s="359" t="s">
        <v>188</v>
      </c>
      <c r="G7" s="359"/>
      <c r="H7" s="359"/>
      <c r="I7" s="359"/>
      <c r="J7" s="231"/>
      <c r="K7" s="231"/>
      <c r="L7" s="231"/>
      <c r="M7" s="231"/>
      <c r="N7" s="282" t="s">
        <v>157</v>
      </c>
      <c r="O7" s="231"/>
      <c r="P7" s="231"/>
      <c r="Q7" s="231"/>
      <c r="R7" s="231"/>
      <c r="S7" s="231"/>
      <c r="T7" s="231"/>
      <c r="U7" s="231"/>
      <c r="V7" s="231"/>
      <c r="W7" s="231"/>
      <c r="X7" s="231"/>
      <c r="Y7" s="231"/>
    </row>
    <row r="8" spans="1:32" x14ac:dyDescent="0.25">
      <c r="A8" s="89" t="s">
        <v>96</v>
      </c>
      <c r="B8" s="89" t="b">
        <v>1</v>
      </c>
      <c r="C8" s="94" t="s">
        <v>52</v>
      </c>
      <c r="D8" s="94"/>
      <c r="E8" s="231"/>
      <c r="F8" s="236"/>
      <c r="G8" s="236"/>
      <c r="H8" s="236"/>
      <c r="I8" s="236"/>
      <c r="J8" s="231"/>
      <c r="K8" s="231"/>
      <c r="L8" s="231"/>
      <c r="M8" s="231"/>
      <c r="N8" s="233"/>
      <c r="O8" s="231"/>
      <c r="P8" s="231"/>
      <c r="Q8" s="231"/>
      <c r="R8" s="231"/>
      <c r="S8" s="231"/>
      <c r="T8" s="231"/>
      <c r="U8" s="231"/>
      <c r="V8" s="231"/>
      <c r="W8" s="231"/>
      <c r="X8" s="231"/>
      <c r="Y8" s="231"/>
    </row>
    <row r="9" spans="1:32" x14ac:dyDescent="0.25">
      <c r="A9" s="89" t="s">
        <v>434</v>
      </c>
      <c r="B9" s="96" t="b">
        <v>0</v>
      </c>
      <c r="C9" s="94" t="s">
        <v>44</v>
      </c>
      <c r="D9" s="94"/>
      <c r="E9" s="231"/>
      <c r="F9" s="236"/>
      <c r="G9" s="236" t="s">
        <v>42</v>
      </c>
      <c r="H9" s="290">
        <v>1</v>
      </c>
      <c r="I9" s="249" t="str">
        <f xml:space="preserve"> " of " &amp; TEXT(NumberOfAssets, "0")</f>
        <v xml:space="preserve"> of 1</v>
      </c>
      <c r="J9" s="231"/>
      <c r="K9" s="231"/>
      <c r="L9" s="231"/>
      <c r="M9" s="231"/>
      <c r="N9" s="233"/>
      <c r="O9" s="231"/>
      <c r="P9" s="231"/>
      <c r="Q9" s="231"/>
      <c r="R9" s="231"/>
      <c r="S9" s="231"/>
      <c r="T9" s="231"/>
      <c r="U9" s="231"/>
      <c r="V9" s="231"/>
      <c r="W9" s="231"/>
      <c r="X9" s="231"/>
      <c r="Y9" s="231"/>
      <c r="Z9" s="97"/>
    </row>
    <row r="10" spans="1:32" x14ac:dyDescent="0.25">
      <c r="B10" s="94"/>
      <c r="C10" s="94" t="s">
        <v>45</v>
      </c>
      <c r="D10" s="94"/>
      <c r="E10" s="231"/>
      <c r="F10" s="236"/>
      <c r="G10" s="236"/>
      <c r="H10" s="236"/>
      <c r="I10" s="236"/>
      <c r="J10" s="231"/>
      <c r="K10" s="231"/>
      <c r="L10" s="231"/>
      <c r="M10" s="231"/>
      <c r="N10" s="233"/>
      <c r="O10" s="231"/>
      <c r="P10" s="231"/>
      <c r="Q10" s="231"/>
      <c r="R10" s="231"/>
      <c r="S10" s="231"/>
      <c r="T10" s="231"/>
      <c r="U10" s="231"/>
      <c r="V10" s="231"/>
      <c r="W10" s="231"/>
      <c r="X10" s="231"/>
      <c r="Y10" s="231"/>
    </row>
    <row r="11" spans="1:32" x14ac:dyDescent="0.25">
      <c r="B11" s="94"/>
      <c r="C11" s="94" t="s">
        <v>46</v>
      </c>
      <c r="D11" s="94"/>
      <c r="E11" s="231"/>
      <c r="F11" s="236"/>
      <c r="G11" s="361"/>
      <c r="H11" s="361"/>
      <c r="I11" s="236"/>
      <c r="J11" s="231"/>
      <c r="K11" s="231"/>
      <c r="L11" s="231"/>
      <c r="M11" s="231"/>
      <c r="N11" s="233"/>
      <c r="O11" s="231"/>
      <c r="P11" s="231"/>
      <c r="Q11" s="231"/>
      <c r="R11" s="231"/>
      <c r="S11" s="231"/>
      <c r="T11" s="231"/>
      <c r="U11" s="231"/>
      <c r="V11" s="231"/>
      <c r="W11" s="231"/>
      <c r="X11" s="231"/>
      <c r="Y11" s="231"/>
    </row>
    <row r="12" spans="1:32" x14ac:dyDescent="0.25">
      <c r="B12" s="94"/>
      <c r="C12" s="94"/>
      <c r="D12" s="94"/>
      <c r="E12" s="231"/>
      <c r="F12" s="236"/>
      <c r="G12" s="236"/>
      <c r="H12" s="236"/>
      <c r="I12" s="236"/>
      <c r="J12" s="231"/>
      <c r="K12" s="231"/>
      <c r="L12" s="231"/>
      <c r="M12" s="231"/>
      <c r="N12" s="233"/>
      <c r="O12" s="231"/>
      <c r="P12" s="231"/>
      <c r="Q12" s="231"/>
      <c r="R12" s="231"/>
      <c r="S12" s="231"/>
      <c r="T12" s="231"/>
      <c r="U12" s="231"/>
      <c r="V12" s="231"/>
      <c r="W12" s="231"/>
      <c r="X12" s="231"/>
      <c r="Y12" s="231"/>
    </row>
    <row r="13" spans="1:32" x14ac:dyDescent="0.25">
      <c r="B13" s="94"/>
      <c r="C13" s="94"/>
      <c r="D13" s="94"/>
      <c r="E13" s="231"/>
      <c r="F13" s="236"/>
      <c r="G13" s="236"/>
      <c r="H13" s="236"/>
      <c r="I13" s="236"/>
      <c r="J13" s="231"/>
      <c r="K13" s="231"/>
      <c r="L13" s="231"/>
      <c r="M13" s="231"/>
      <c r="N13" s="233"/>
      <c r="O13" s="231"/>
      <c r="P13" s="231"/>
      <c r="Q13" s="231"/>
      <c r="R13" s="231"/>
      <c r="S13" s="231"/>
      <c r="T13" s="231"/>
      <c r="U13" s="231"/>
      <c r="V13" s="231"/>
      <c r="W13" s="231"/>
      <c r="X13" s="231"/>
      <c r="Y13" s="231"/>
      <c r="Z13" s="98"/>
      <c r="AA13" s="98"/>
      <c r="AB13" s="98"/>
      <c r="AC13" s="98"/>
      <c r="AD13" s="98"/>
      <c r="AE13" s="98"/>
      <c r="AF13" s="98"/>
    </row>
    <row r="14" spans="1:32" x14ac:dyDescent="0.25">
      <c r="A14" s="89" t="s">
        <v>186</v>
      </c>
      <c r="B14" s="99" t="b">
        <v>0</v>
      </c>
      <c r="C14" s="94" t="s">
        <v>51</v>
      </c>
      <c r="D14" s="94"/>
      <c r="E14" s="231"/>
      <c r="F14" s="236"/>
      <c r="G14" s="236"/>
      <c r="H14" s="236"/>
      <c r="I14" s="236"/>
      <c r="J14" s="231"/>
      <c r="K14" s="231"/>
      <c r="L14" s="231"/>
      <c r="M14" s="231"/>
      <c r="N14" s="233"/>
      <c r="O14" s="231"/>
      <c r="P14" s="231"/>
      <c r="Q14" s="231"/>
      <c r="R14" s="231"/>
      <c r="S14" s="231"/>
      <c r="T14" s="231"/>
      <c r="U14" s="231"/>
      <c r="V14" s="231"/>
      <c r="W14" s="231"/>
      <c r="X14" s="231"/>
      <c r="Y14" s="231"/>
    </row>
    <row r="15" spans="1:32" x14ac:dyDescent="0.25">
      <c r="B15" s="94"/>
      <c r="C15" s="94"/>
      <c r="D15" s="94"/>
      <c r="E15" s="231"/>
      <c r="F15" s="231"/>
      <c r="G15" s="231"/>
      <c r="H15" s="231"/>
      <c r="I15" s="231"/>
      <c r="J15" s="231"/>
      <c r="K15" s="231"/>
      <c r="L15" s="231"/>
      <c r="M15" s="231"/>
      <c r="N15" s="233"/>
      <c r="O15" s="233"/>
      <c r="P15" s="233"/>
      <c r="Q15" s="233"/>
      <c r="R15" s="233"/>
      <c r="S15" s="231"/>
      <c r="T15" s="231"/>
      <c r="U15" s="231"/>
      <c r="V15" s="231"/>
      <c r="W15" s="231"/>
      <c r="X15" s="231"/>
      <c r="Y15" s="231"/>
    </row>
    <row r="16" spans="1:32" ht="18.75" x14ac:dyDescent="0.3">
      <c r="A16" s="89" t="s">
        <v>435</v>
      </c>
      <c r="B16" s="100">
        <f>COUNTA(tblAssetMenuSpecs[Asset class])</f>
        <v>1</v>
      </c>
      <c r="C16" s="94"/>
      <c r="D16" s="94"/>
      <c r="E16" s="231"/>
      <c r="F16" s="359" t="s">
        <v>189</v>
      </c>
      <c r="G16" s="359"/>
      <c r="H16" s="359"/>
      <c r="I16" s="359"/>
      <c r="J16" s="273"/>
      <c r="K16" s="273"/>
      <c r="L16" s="273"/>
      <c r="M16" s="273"/>
      <c r="N16" s="233"/>
      <c r="O16" s="231"/>
      <c r="P16" s="231"/>
      <c r="Q16" s="231"/>
      <c r="R16" s="231"/>
      <c r="S16" s="233"/>
      <c r="T16" s="231"/>
      <c r="U16" s="231"/>
      <c r="V16" s="231"/>
      <c r="W16" s="231"/>
      <c r="X16" s="231"/>
      <c r="Y16" s="231"/>
    </row>
    <row r="17" spans="1:72" x14ac:dyDescent="0.25">
      <c r="B17" s="94"/>
      <c r="C17" s="94"/>
      <c r="D17" s="94"/>
      <c r="E17" s="231"/>
      <c r="F17" s="236"/>
      <c r="G17" s="236"/>
      <c r="H17" s="236"/>
      <c r="I17" s="236"/>
      <c r="J17" s="233"/>
      <c r="K17" s="233"/>
      <c r="L17" s="233"/>
      <c r="M17" s="233"/>
      <c r="N17" s="233"/>
      <c r="O17" s="231"/>
      <c r="P17" s="231"/>
      <c r="Q17" s="231"/>
      <c r="R17" s="231"/>
      <c r="S17" s="233"/>
      <c r="T17" s="231"/>
      <c r="U17" s="231"/>
      <c r="V17" s="231"/>
      <c r="W17" s="231"/>
      <c r="X17" s="231"/>
      <c r="Y17" s="231"/>
    </row>
    <row r="18" spans="1:72" ht="32.25" customHeight="1" x14ac:dyDescent="0.25">
      <c r="A18" s="89">
        <f>MATCH(CurrentType,tblAssetTypeDefinitions[Asset class],0)</f>
        <v>20</v>
      </c>
      <c r="B18" s="94"/>
      <c r="C18" s="94"/>
      <c r="D18" s="94"/>
      <c r="E18" s="231"/>
      <c r="F18" s="236"/>
      <c r="G18" s="283" t="s">
        <v>263</v>
      </c>
      <c r="H18" s="291" t="s">
        <v>266</v>
      </c>
      <c r="I18" s="236"/>
      <c r="J18" s="233"/>
      <c r="K18" s="233"/>
      <c r="L18" s="233"/>
      <c r="M18" s="233"/>
      <c r="N18" s="233"/>
      <c r="O18" s="231"/>
      <c r="P18" s="231"/>
      <c r="Q18" s="231"/>
      <c r="R18" s="231"/>
      <c r="S18" s="233"/>
      <c r="T18" s="231"/>
      <c r="U18" s="231"/>
      <c r="V18" s="231"/>
      <c r="W18" s="231"/>
      <c r="X18" s="231"/>
      <c r="Y18" s="231"/>
    </row>
    <row r="19" spans="1:72" x14ac:dyDescent="0.25">
      <c r="B19" s="94"/>
      <c r="C19" s="94"/>
      <c r="D19" s="94"/>
      <c r="E19" s="231"/>
      <c r="F19" s="236"/>
      <c r="G19" s="236"/>
      <c r="H19" s="236"/>
      <c r="I19" s="236"/>
      <c r="J19" s="233"/>
      <c r="K19" s="233"/>
      <c r="L19" s="233"/>
      <c r="M19" s="233"/>
      <c r="N19" s="233"/>
      <c r="O19" s="231"/>
      <c r="P19" s="231"/>
      <c r="Q19" s="231"/>
      <c r="R19" s="231"/>
      <c r="S19" s="233"/>
      <c r="T19" s="231"/>
      <c r="U19" s="231"/>
      <c r="V19" s="231"/>
      <c r="W19" s="231"/>
      <c r="X19" s="231"/>
      <c r="Y19" s="231"/>
    </row>
    <row r="20" spans="1:72" x14ac:dyDescent="0.25">
      <c r="B20" s="94"/>
      <c r="C20" s="94"/>
      <c r="D20" s="94"/>
      <c r="E20" s="231"/>
      <c r="F20" s="236"/>
      <c r="G20" s="236" t="s">
        <v>43</v>
      </c>
      <c r="H20" s="292" t="s">
        <v>672</v>
      </c>
      <c r="I20" s="236"/>
      <c r="J20" s="233"/>
      <c r="K20" s="233"/>
      <c r="L20" s="233"/>
      <c r="M20" s="233"/>
      <c r="N20" s="233"/>
      <c r="O20" s="231"/>
      <c r="P20" s="231"/>
      <c r="Q20" s="231"/>
      <c r="R20" s="231"/>
      <c r="S20" s="233"/>
      <c r="T20" s="231"/>
      <c r="U20" s="231"/>
      <c r="V20" s="231"/>
      <c r="W20" s="231"/>
      <c r="X20" s="231"/>
      <c r="Y20" s="231"/>
    </row>
    <row r="21" spans="1:72" x14ac:dyDescent="0.25">
      <c r="A21" s="100" t="s">
        <v>17</v>
      </c>
      <c r="B21" s="329">
        <f>INDEX(tblAssetTypeDefinitions[Currency],$A$18)</f>
        <v>0</v>
      </c>
      <c r="C21" s="100" t="b">
        <f>IFERROR(NOT(OR(ISBLANK(B21),B21=0)),TRUE)</f>
        <v>0</v>
      </c>
      <c r="D21" s="100" t="str">
        <f>Currency</f>
        <v>[Country missing - Please Select Country of authorisation]</v>
      </c>
      <c r="E21" s="231"/>
      <c r="F21" s="236"/>
      <c r="G21" s="236" t="s">
        <v>47</v>
      </c>
      <c r="H21" s="292"/>
      <c r="I21" s="236"/>
      <c r="J21" s="233"/>
      <c r="K21" s="233"/>
      <c r="L21" s="233"/>
      <c r="M21" s="233"/>
      <c r="N21" s="233"/>
      <c r="O21" s="231"/>
      <c r="P21" s="231"/>
      <c r="Q21" s="231"/>
      <c r="R21" s="231"/>
      <c r="S21" s="233"/>
      <c r="T21" s="231"/>
      <c r="U21" s="231"/>
      <c r="V21" s="231"/>
      <c r="W21" s="231"/>
      <c r="X21" s="231"/>
      <c r="Y21" s="231"/>
      <c r="AB21" s="91"/>
      <c r="AC21" s="91"/>
      <c r="AD21" s="91"/>
      <c r="AE21" s="91"/>
      <c r="AF21" s="91"/>
      <c r="AG21" s="91"/>
      <c r="AH21" s="91"/>
      <c r="AK21" s="91"/>
      <c r="AL21" s="91"/>
    </row>
    <row r="22" spans="1:72" x14ac:dyDescent="0.25">
      <c r="A22" s="100" t="s">
        <v>48</v>
      </c>
      <c r="B22" s="333">
        <f>INDEX(tblAssetTypeDefinitions[Duration],$A$18)</f>
        <v>1</v>
      </c>
      <c r="C22" s="100" t="b">
        <f>IFERROR(NOT(OR(ISBLANK(B22),B22=0)),TRUE)</f>
        <v>1</v>
      </c>
      <c r="D22" s="100">
        <f>IF(C22,1,DurationField)</f>
        <v>1</v>
      </c>
      <c r="E22" s="231"/>
      <c r="F22" s="236"/>
      <c r="G22" s="236" t="s">
        <v>116</v>
      </c>
      <c r="H22" s="293">
        <v>0</v>
      </c>
      <c r="I22" s="236"/>
      <c r="J22" s="233"/>
      <c r="K22" s="233"/>
      <c r="L22" s="233"/>
      <c r="M22" s="233"/>
      <c r="N22" s="233"/>
      <c r="O22" s="231"/>
      <c r="P22" s="231"/>
      <c r="Q22" s="231"/>
      <c r="R22" s="231"/>
      <c r="S22" s="233"/>
      <c r="T22" s="231"/>
      <c r="U22" s="231"/>
      <c r="V22" s="231"/>
      <c r="W22" s="231"/>
      <c r="X22" s="231"/>
      <c r="Y22" s="231"/>
      <c r="AD22" s="102"/>
      <c r="AE22" s="102"/>
      <c r="AF22" s="102"/>
      <c r="AG22" s="102"/>
      <c r="AH22" s="102"/>
      <c r="AI22" s="102"/>
      <c r="AJ22" s="102"/>
      <c r="AK22" s="102"/>
      <c r="AL22" s="102"/>
    </row>
    <row r="23" spans="1:72" x14ac:dyDescent="0.25">
      <c r="A23" s="100" t="s">
        <v>54</v>
      </c>
      <c r="B23" s="100">
        <f>INDEX(tblAssetTypeDefinitions[Spread type],$A$18)</f>
        <v>0</v>
      </c>
      <c r="C23" s="100" t="b">
        <f>IFERROR((OR(ISBLANK(B23),B23=0,B23="-")),TRUE)</f>
        <v>1</v>
      </c>
      <c r="D23" s="100">
        <f>IF(C23,0,B23)</f>
        <v>0</v>
      </c>
      <c r="E23" s="231"/>
      <c r="F23" s="236"/>
      <c r="G23" s="236"/>
      <c r="H23" s="236"/>
      <c r="I23" s="236"/>
      <c r="J23" s="233"/>
      <c r="K23" s="233"/>
      <c r="L23" s="233"/>
      <c r="M23" s="233"/>
      <c r="N23" s="233"/>
      <c r="O23" s="231"/>
      <c r="P23" s="231"/>
      <c r="Q23" s="231"/>
      <c r="R23" s="231"/>
      <c r="S23" s="233"/>
      <c r="T23" s="231"/>
      <c r="U23" s="231"/>
      <c r="V23" s="231"/>
      <c r="W23" s="231"/>
      <c r="X23" s="231"/>
      <c r="Y23" s="231"/>
      <c r="AD23" s="102"/>
      <c r="AE23" s="102"/>
      <c r="AF23" s="102"/>
      <c r="AG23" s="102"/>
      <c r="AH23" s="102"/>
      <c r="AI23" s="102"/>
      <c r="AJ23" s="102"/>
      <c r="AK23" s="102"/>
      <c r="AL23" s="102"/>
    </row>
    <row r="24" spans="1:72" x14ac:dyDescent="0.25">
      <c r="A24" s="100" t="s">
        <v>185</v>
      </c>
      <c r="B24" s="329">
        <f>INDEX(tblAssetTypeDefinitions[Inflation linked],$A$18)</f>
        <v>0</v>
      </c>
      <c r="C24" s="100" t="b">
        <f>IFERROR(NOT(OR(ISBLANK(B24),B24=0)),TRUE)</f>
        <v>0</v>
      </c>
      <c r="D24" s="100" t="b">
        <f>IF(C24,FALSE,InflationLinkedField)</f>
        <v>0</v>
      </c>
      <c r="E24" s="231"/>
      <c r="F24" s="236"/>
      <c r="G24" s="284" t="s">
        <v>48</v>
      </c>
      <c r="H24" s="285">
        <v>1</v>
      </c>
      <c r="I24" s="236"/>
      <c r="J24" s="233"/>
      <c r="K24" s="233"/>
      <c r="L24" s="233"/>
      <c r="M24" s="233"/>
      <c r="N24" s="233"/>
      <c r="O24" s="231"/>
      <c r="P24" s="231"/>
      <c r="Q24" s="231"/>
      <c r="R24" s="231"/>
      <c r="S24" s="233"/>
      <c r="T24" s="231"/>
      <c r="U24" s="231"/>
      <c r="V24" s="231"/>
      <c r="W24" s="231"/>
      <c r="X24" s="231"/>
      <c r="Y24" s="231"/>
      <c r="AD24" s="102"/>
      <c r="AE24" s="102"/>
      <c r="AF24" s="102"/>
      <c r="AG24" s="102"/>
      <c r="AH24" s="102"/>
      <c r="AI24" s="102"/>
      <c r="AJ24" s="102"/>
      <c r="AK24" s="102"/>
      <c r="AL24" s="102"/>
      <c r="BA24" s="331"/>
      <c r="BB24" s="331"/>
      <c r="BC24" s="331"/>
      <c r="BD24" s="331"/>
      <c r="BE24" s="331"/>
      <c r="BF24" s="331"/>
      <c r="BG24" s="331"/>
      <c r="BH24" s="331"/>
      <c r="BI24" s="331"/>
      <c r="BJ24" s="331"/>
      <c r="BK24" s="331"/>
      <c r="BL24" s="331"/>
      <c r="BM24" s="331"/>
      <c r="BN24" s="331"/>
      <c r="BO24" s="331"/>
      <c r="BP24" s="331"/>
      <c r="BQ24" s="331"/>
      <c r="BR24" s="331"/>
      <c r="BS24" s="331"/>
      <c r="BT24" s="331"/>
    </row>
    <row r="25" spans="1:72" x14ac:dyDescent="0.25">
      <c r="A25" s="100" t="s">
        <v>263</v>
      </c>
      <c r="B25" s="103" t="str">
        <f>INDEX(tblAssetTypeDefinitions[Asset category],$A$18)</f>
        <v>Fixed income</v>
      </c>
      <c r="C25" s="100"/>
      <c r="D25" s="100"/>
      <c r="E25" s="231"/>
      <c r="F25" s="236"/>
      <c r="G25" s="236" t="s">
        <v>185</v>
      </c>
      <c r="H25" s="237" t="b">
        <v>0</v>
      </c>
      <c r="I25" s="236"/>
      <c r="J25" s="233"/>
      <c r="K25" s="233"/>
      <c r="L25" s="233"/>
      <c r="M25" s="233"/>
      <c r="N25" s="233"/>
      <c r="O25" s="231"/>
      <c r="P25" s="231"/>
      <c r="Q25" s="231"/>
      <c r="R25" s="231"/>
      <c r="S25" s="233"/>
      <c r="T25" s="231"/>
      <c r="U25" s="231"/>
      <c r="V25" s="231"/>
      <c r="W25" s="231"/>
      <c r="X25" s="231"/>
      <c r="Y25" s="231"/>
      <c r="AD25" s="102"/>
      <c r="AE25" s="102"/>
      <c r="AF25" s="102"/>
      <c r="AG25" s="102"/>
      <c r="AH25" s="102"/>
      <c r="AI25" s="102"/>
      <c r="AJ25" s="102"/>
      <c r="AK25" s="102"/>
      <c r="AL25" s="102"/>
    </row>
    <row r="26" spans="1:72" x14ac:dyDescent="0.25">
      <c r="A26" s="90"/>
      <c r="B26" s="90"/>
      <c r="C26" s="90"/>
      <c r="D26" s="90"/>
      <c r="E26" s="231"/>
      <c r="F26" s="236"/>
      <c r="G26" s="236"/>
      <c r="H26" s="239"/>
      <c r="I26" s="236"/>
      <c r="J26" s="233"/>
      <c r="K26" s="233"/>
      <c r="L26" s="233"/>
      <c r="M26" s="233"/>
      <c r="N26" s="233"/>
      <c r="O26" s="231"/>
      <c r="P26" s="231"/>
      <c r="Q26" s="231"/>
      <c r="R26" s="231"/>
      <c r="S26" s="233"/>
      <c r="T26" s="231"/>
      <c r="U26" s="231"/>
      <c r="V26" s="231"/>
      <c r="W26" s="231"/>
      <c r="X26" s="231"/>
      <c r="Y26" s="231"/>
      <c r="AD26" s="102"/>
      <c r="AE26" s="102"/>
      <c r="AF26" s="102"/>
      <c r="AG26" s="102"/>
      <c r="AH26" s="102"/>
      <c r="AI26" s="102"/>
      <c r="AJ26" s="102"/>
      <c r="AK26" s="102"/>
      <c r="AL26" s="102"/>
    </row>
    <row r="27" spans="1:72" x14ac:dyDescent="0.25">
      <c r="E27" s="231"/>
      <c r="F27" s="233"/>
      <c r="G27" s="233"/>
      <c r="H27" s="233"/>
      <c r="I27" s="233"/>
      <c r="J27" s="233"/>
      <c r="K27" s="233"/>
      <c r="L27" s="233"/>
      <c r="M27" s="233"/>
      <c r="N27" s="233"/>
      <c r="O27" s="231"/>
      <c r="P27" s="231"/>
      <c r="Q27" s="231"/>
      <c r="R27" s="231"/>
      <c r="S27" s="233"/>
      <c r="T27" s="231"/>
      <c r="U27" s="231"/>
      <c r="V27" s="231"/>
      <c r="W27" s="231"/>
      <c r="X27" s="231"/>
      <c r="Y27" s="231"/>
      <c r="Z27" s="91"/>
      <c r="AA27" s="91"/>
      <c r="AB27" s="91"/>
      <c r="AC27" s="91"/>
      <c r="AD27" s="91"/>
      <c r="AE27" s="91"/>
      <c r="AF27" s="91"/>
      <c r="AG27" s="91"/>
      <c r="AH27" s="91"/>
      <c r="AI27" s="91"/>
      <c r="AJ27" s="102"/>
      <c r="AK27" s="102"/>
      <c r="AL27" s="102"/>
    </row>
    <row r="28" spans="1:72" x14ac:dyDescent="0.25">
      <c r="E28" s="231"/>
      <c r="F28" s="233"/>
      <c r="G28" s="233"/>
      <c r="H28" s="233"/>
      <c r="I28" s="233"/>
      <c r="J28" s="231"/>
      <c r="K28" s="231"/>
      <c r="L28" s="231"/>
      <c r="M28" s="233"/>
      <c r="N28" s="233"/>
      <c r="O28" s="231"/>
      <c r="P28" s="231"/>
      <c r="Q28" s="231"/>
      <c r="R28" s="231"/>
      <c r="S28" s="273"/>
      <c r="T28" s="231"/>
      <c r="U28" s="231"/>
      <c r="V28" s="231"/>
      <c r="W28" s="231"/>
      <c r="X28" s="231"/>
      <c r="Y28" s="231"/>
      <c r="Z28" s="102"/>
      <c r="AA28" s="102"/>
      <c r="AB28" s="102"/>
      <c r="AC28" s="102"/>
      <c r="AD28" s="102"/>
      <c r="AE28" s="102"/>
      <c r="AF28" s="102"/>
      <c r="AG28" s="102"/>
      <c r="AH28" s="102"/>
      <c r="AI28" s="102"/>
      <c r="AJ28" s="102"/>
      <c r="AK28" s="102"/>
      <c r="AL28" s="102"/>
    </row>
    <row r="29" spans="1:72" s="91" customFormat="1" ht="18.75" customHeight="1" x14ac:dyDescent="0.25">
      <c r="C29" s="105"/>
      <c r="D29" s="106"/>
      <c r="E29" s="286"/>
      <c r="F29" s="362" t="s">
        <v>341</v>
      </c>
      <c r="G29" s="362"/>
      <c r="H29" s="362"/>
      <c r="I29" s="362"/>
      <c r="J29" s="362"/>
      <c r="K29" s="362"/>
      <c r="L29" s="273"/>
      <c r="M29" s="233"/>
      <c r="N29" s="233"/>
      <c r="O29" s="233"/>
      <c r="P29" s="233"/>
      <c r="Q29" s="233"/>
      <c r="R29" s="233"/>
      <c r="S29" s="233"/>
      <c r="T29" s="233"/>
      <c r="U29" s="233"/>
      <c r="V29" s="233"/>
      <c r="W29" s="233"/>
      <c r="X29" s="233"/>
      <c r="Y29" s="233"/>
      <c r="Z29" s="102"/>
      <c r="AA29" s="102"/>
      <c r="AB29" s="102"/>
      <c r="AC29" s="102"/>
      <c r="AD29" s="102"/>
      <c r="AE29" s="102"/>
      <c r="AF29" s="102"/>
      <c r="AG29" s="102"/>
      <c r="AH29" s="102"/>
      <c r="AI29" s="102"/>
      <c r="AJ29" s="102"/>
      <c r="AK29" s="102"/>
      <c r="AL29" s="102"/>
      <c r="AZ29" s="107"/>
    </row>
    <row r="30" spans="1:72" ht="60" x14ac:dyDescent="0.25">
      <c r="A30" s="108"/>
      <c r="B30" s="109"/>
      <c r="C30" s="94"/>
      <c r="D30" s="94"/>
      <c r="E30" s="231"/>
      <c r="F30" s="260" t="s">
        <v>187</v>
      </c>
      <c r="G30" s="260" t="s">
        <v>43</v>
      </c>
      <c r="H30" s="260" t="s">
        <v>263</v>
      </c>
      <c r="I30" s="260" t="s">
        <v>119</v>
      </c>
      <c r="J30" s="238" t="s">
        <v>48</v>
      </c>
      <c r="K30" s="238" t="s">
        <v>185</v>
      </c>
      <c r="L30" s="233"/>
      <c r="M30" s="233"/>
      <c r="N30" s="233"/>
      <c r="O30" s="231"/>
      <c r="P30" s="231"/>
      <c r="Q30" s="231"/>
      <c r="R30" s="231"/>
      <c r="S30" s="231"/>
      <c r="T30" s="231"/>
      <c r="U30" s="231"/>
      <c r="V30" s="231"/>
      <c r="W30" s="231"/>
      <c r="X30" s="231"/>
      <c r="Y30" s="231"/>
      <c r="Z30" s="95" t="s">
        <v>42</v>
      </c>
      <c r="AA30" s="95" t="s">
        <v>43</v>
      </c>
      <c r="AB30" s="95" t="s">
        <v>47</v>
      </c>
      <c r="AC30" s="95" t="s">
        <v>263</v>
      </c>
      <c r="AD30" s="95" t="s">
        <v>404</v>
      </c>
      <c r="AE30" s="112" t="s">
        <v>403</v>
      </c>
      <c r="AF30" s="112" t="s">
        <v>274</v>
      </c>
      <c r="AG30" s="328" t="s">
        <v>658</v>
      </c>
      <c r="AH30" s="328" t="s">
        <v>659</v>
      </c>
      <c r="AI30" s="112" t="s">
        <v>268</v>
      </c>
      <c r="AJ30" s="112" t="s">
        <v>269</v>
      </c>
      <c r="AK30" s="112" t="s">
        <v>270</v>
      </c>
      <c r="AL30" s="112" t="s">
        <v>405</v>
      </c>
      <c r="AM30" s="112" t="s">
        <v>651</v>
      </c>
      <c r="AN30" s="112" t="s">
        <v>654</v>
      </c>
      <c r="AO30" s="112" t="s">
        <v>660</v>
      </c>
      <c r="AP30" s="112" t="s">
        <v>661</v>
      </c>
      <c r="AQ30" s="313" t="s">
        <v>53</v>
      </c>
      <c r="AR30" s="313" t="s">
        <v>48</v>
      </c>
      <c r="AS30" s="313" t="s">
        <v>49</v>
      </c>
      <c r="AT30" s="313" t="s">
        <v>50</v>
      </c>
      <c r="AU30" s="313" t="s">
        <v>17</v>
      </c>
      <c r="AV30" s="313" t="s">
        <v>117</v>
      </c>
      <c r="AW30" s="112" t="s">
        <v>342</v>
      </c>
      <c r="AX30" s="112" t="s">
        <v>343</v>
      </c>
      <c r="AY30" s="112" t="s">
        <v>344</v>
      </c>
      <c r="AZ30" s="112" t="s">
        <v>345</v>
      </c>
      <c r="BA30" s="112" t="s">
        <v>663</v>
      </c>
      <c r="BB30" s="112" t="s">
        <v>440</v>
      </c>
      <c r="BC30" s="112" t="s">
        <v>664</v>
      </c>
      <c r="BD30" s="112" t="s">
        <v>441</v>
      </c>
      <c r="BE30" s="112" t="s">
        <v>442</v>
      </c>
      <c r="BF30" s="112" t="s">
        <v>443</v>
      </c>
      <c r="BG30" s="112" t="s">
        <v>444</v>
      </c>
      <c r="BH30" s="112" t="s">
        <v>445</v>
      </c>
      <c r="BI30" s="112" t="s">
        <v>665</v>
      </c>
      <c r="BJ30" s="112" t="s">
        <v>666</v>
      </c>
      <c r="BK30" s="112" t="s">
        <v>542</v>
      </c>
      <c r="BL30" s="112" t="s">
        <v>543</v>
      </c>
      <c r="BM30" s="112" t="s">
        <v>667</v>
      </c>
      <c r="BN30" s="112" t="s">
        <v>668</v>
      </c>
      <c r="BO30" s="112" t="s">
        <v>669</v>
      </c>
      <c r="BP30" s="112" t="s">
        <v>670</v>
      </c>
      <c r="BQ30" s="112" t="s">
        <v>671</v>
      </c>
      <c r="BR30" s="112" t="s">
        <v>545</v>
      </c>
      <c r="BS30" s="112" t="s">
        <v>546</v>
      </c>
      <c r="BT30" s="112" t="s">
        <v>446</v>
      </c>
    </row>
    <row r="31" spans="1:72" x14ac:dyDescent="0.25">
      <c r="B31" s="109"/>
      <c r="E31" s="231"/>
      <c r="F31" s="278">
        <v>1</v>
      </c>
      <c r="G31" s="287" t="str">
        <f>tblAssetMenuSpecs[[#This Row],[Asset name]]</f>
        <v>Cash</v>
      </c>
      <c r="H31" s="278" t="str">
        <f>tblAssetMenuSpecs[[#This Row],[Asset class]]</f>
        <v>Cash and Deposits</v>
      </c>
      <c r="I31" s="288">
        <f>tblAssetMenuSpecs[[#This Row],[InvestmentCost]]</f>
        <v>0</v>
      </c>
      <c r="J31" s="287">
        <f>IF(tblAssetMenuSpecs[[#This Row],[Asset category]]="Fixed income",tblAssetMenuSpecs[[#This Row],[Duration]],"")</f>
        <v>1</v>
      </c>
      <c r="K31" s="278" t="b">
        <f>IF(tblAssetMenuSpecs[[#This Row],[Asset category]]="Fixed income",tblAssetMenuSpecs[[#This Row],[Inflation linked]],"")</f>
        <v>0</v>
      </c>
      <c r="L31" s="233"/>
      <c r="M31" s="231"/>
      <c r="N31" s="233"/>
      <c r="O31" s="231"/>
      <c r="P31" s="231"/>
      <c r="Q31" s="231"/>
      <c r="R31" s="231"/>
      <c r="S31" s="231"/>
      <c r="T31" s="231"/>
      <c r="U31" s="231"/>
      <c r="V31" s="231"/>
      <c r="W31" s="231"/>
      <c r="X31" s="231"/>
      <c r="Y31" s="231"/>
      <c r="Z31" s="99">
        <f>ROW()-ROW(tblAssetMenuSpecs[[#Headers],[Asset number]])</f>
        <v>1</v>
      </c>
      <c r="AA31" s="113" t="s">
        <v>672</v>
      </c>
      <c r="AB31" s="113"/>
      <c r="AC31" s="113" t="s">
        <v>266</v>
      </c>
      <c r="AD31" s="329" t="str">
        <f>INDEX(tblAssetTypeDefinitions[Asset category],MATCH(tblAssetMenuSpecs[[#This Row],[Asset class]],tblAssetTypeDefinitions[Asset class],0))</f>
        <v>Fixed income</v>
      </c>
      <c r="AE31" s="329">
        <f>INDEX(tblAssetTypeDefinitions[Beta Equities EU],MATCH(tblAssetMenuSpecs[[#This Row],[Asset class]],tblAssetTypeDefinitions[Asset class],0))</f>
        <v>0</v>
      </c>
      <c r="AF31" s="329">
        <f>INDEX(tblAssetTypeDefinitions[Beta Equities US],MATCH(tblAssetMenuSpecs[[#This Row],[Asset class]],tblAssetTypeDefinitions[Asset class],0))</f>
        <v>0</v>
      </c>
      <c r="AG31" s="329">
        <f>INDEX(tblAssetTypeDefinitions[Beta Equities Other Developed Markets],MATCH(tblAssetMenuSpecs[[#This Row],[Asset class]],tblAssetTypeDefinitions[Asset class],0))</f>
        <v>0</v>
      </c>
      <c r="AH31" s="329">
        <f>INDEX(tblAssetTypeDefinitions[Beta Equities Emerging Markets],MATCH(tblAssetMenuSpecs[[#This Row],[Asset class]],tblAssetTypeDefinitions[Asset class],0))</f>
        <v>0</v>
      </c>
      <c r="AI31" s="329">
        <f>INDEX(tblAssetTypeDefinitions[Beta Commodities],MATCH(tblAssetMenuSpecs[[#This Row],[Asset class]],tblAssetTypeDefinitions[Asset class],0))</f>
        <v>0</v>
      </c>
      <c r="AJ31" s="329">
        <f>INDEX(tblAssetTypeDefinitions[Beta Private Equity],MATCH(tblAssetMenuSpecs[[#This Row],[Asset class]],tblAssetTypeDefinitions[Asset class],0))</f>
        <v>0</v>
      </c>
      <c r="AK31" s="329">
        <f>INDEX(tblAssetTypeDefinitions[Beta Hedge Funds],MATCH(tblAssetMenuSpecs[[#This Row],[Asset class]],tblAssetTypeDefinitions[Asset class],0))</f>
        <v>0</v>
      </c>
      <c r="AL31" s="329">
        <f>INDEX(tblAssetTypeDefinitions[Beta Real Estate EU],MATCH(tblAssetMenuSpecs[[#This Row],[Asset class]],tblAssetTypeDefinitions[Asset class],0))</f>
        <v>0</v>
      </c>
      <c r="AM31" s="329">
        <f>INDEX(tblAssetTypeDefinitions[Beta Real Estate US],MATCH(tblAssetMenuSpecs[[#This Row],[Asset class]],tblAssetTypeDefinitions[Asset class],0))</f>
        <v>0</v>
      </c>
      <c r="AN31" s="329">
        <f>INDEX(tblAssetTypeDefinitions[Beta Real Estate Other Developed Markets],MATCH(tblAssetMenuSpecs[[#This Row],[Asset class]],tblAssetTypeDefinitions[Asset class],0))</f>
        <v>0</v>
      </c>
      <c r="AO31" s="329">
        <f>INDEX(tblAssetTypeDefinitions[Real Estate Commercial EU (non-leveraged)],MATCH(tblAssetMenuSpecs[[#This Row],[Asset class]],tblAssetTypeDefinitions[Asset class],0))</f>
        <v>0</v>
      </c>
      <c r="AP31" s="329">
        <f>INDEX(tblAssetTypeDefinitions[Real Estate Residential EU (non-leveraged)],MATCH(tblAssetMenuSpecs[[#This Row],[Asset class]],tblAssetTypeDefinitions[Asset class],0))</f>
        <v>0</v>
      </c>
      <c r="AQ31" s="329">
        <f>INDEX(tblAssetTypeDefinitions[Beta Bond],MATCH(tblAssetMenuSpecs[[#This Row],[Asset class]],tblAssetTypeDefinitions[Asset class],0))</f>
        <v>1</v>
      </c>
      <c r="AR31" s="330">
        <v>1</v>
      </c>
      <c r="AS31" s="330" t="b">
        <v>0</v>
      </c>
      <c r="AT31" s="330">
        <v>0</v>
      </c>
      <c r="AU31" s="330" t="s">
        <v>13</v>
      </c>
      <c r="AV31" s="330">
        <v>0</v>
      </c>
      <c r="AW31" s="329" t="b">
        <f>(tblAssetMenuSpecs[[#This Row],[Asset category]]="Equities")</f>
        <v>0</v>
      </c>
      <c r="AX31" s="329" t="b">
        <f>(tblAssetMenuSpecs[[#This Row],[Asset category]]="Real Estate")</f>
        <v>0</v>
      </c>
      <c r="AY31" s="329" t="b">
        <f>(tblAssetMenuSpecs[[#This Row],[Asset category]]="Alternatives")</f>
        <v>0</v>
      </c>
      <c r="AZ31" s="329" t="b">
        <f>(tblAssetMenuSpecs[[#This Row],[Asset category]] = "Fixed income")</f>
        <v>1</v>
      </c>
      <c r="BA31" s="329" t="b">
        <f>(tblAssetMenuSpecs[[#This Row],[Asset class]] = RIGHT(tblAssetMenuSpecs[[#Headers],[Is Equities EU]],LEN(tblAssetMenuSpecs[[#Headers],[Is Equities EU]])-3))</f>
        <v>0</v>
      </c>
      <c r="BB31" s="329" t="b">
        <f>(tblAssetMenuSpecs[[#This Row],[Asset class]] = RIGHT(tblAssetMenuSpecs[[#Headers],[Is Equities US]],LEN(tblAssetMenuSpecs[[#Headers],[Is Equities US]])-3))</f>
        <v>0</v>
      </c>
      <c r="BC31" s="329" t="b">
        <f>(tblAssetMenuSpecs[[#This Row],[Asset class]] = RIGHT(tblAssetMenuSpecs[[#Headers],[Is Equities Other Developed Markets]],LEN(tblAssetMenuSpecs[[#Headers],[Is Equities Other Developed Markets]])-3))</f>
        <v>0</v>
      </c>
      <c r="BD31" s="329" t="b">
        <f>(tblAssetMenuSpecs[[#This Row],[Asset class]] = RIGHT(tblAssetMenuSpecs[[#Headers],[Is Equities Emerging Markets]],LEN(tblAssetMenuSpecs[[#Headers],[Is Equities Emerging Markets]])-3))</f>
        <v>0</v>
      </c>
      <c r="BE31" s="329" t="b">
        <f>(tblAssetMenuSpecs[[#This Row],[Asset class]] = RIGHT(tblAssetMenuSpecs[[#Headers],[Is Commodities]],LEN(tblAssetMenuSpecs[[#Headers],[Is Commodities]])-3))</f>
        <v>0</v>
      </c>
      <c r="BF31" s="329" t="b">
        <f>(tblAssetMenuSpecs[[#This Row],[Asset class]] = RIGHT(tblAssetMenuSpecs[[#Headers],[Is Private Equity]],LEN(tblAssetMenuSpecs[[#Headers],[Is Private Equity]])-3))</f>
        <v>0</v>
      </c>
      <c r="BG31" s="329" t="b">
        <f>(tblAssetMenuSpecs[[#This Row],[Asset class]] = RIGHT(tblAssetMenuSpecs[[#Headers],[Is Hedge Funds]],LEN(tblAssetMenuSpecs[[#Headers],[Is Hedge Funds]])-3))</f>
        <v>0</v>
      </c>
      <c r="BH31" s="329" t="b">
        <f>(tblAssetMenuSpecs[[#This Row],[Asset class]] = RIGHT(tblAssetMenuSpecs[[#Headers],[Is Real Estate EU]],LEN(tblAssetMenuSpecs[[#Headers],[Is Real Estate EU]])-3))</f>
        <v>0</v>
      </c>
      <c r="BI31" s="329" t="b">
        <f>(tblAssetMenuSpecs[[#This Row],[Asset class]] = RIGHT(tblAssetMenuSpecs[[#Headers],[Is Real Estate US]],LEN(tblAssetMenuSpecs[[#Headers],[Is Real Estate US]])-3))</f>
        <v>0</v>
      </c>
      <c r="BJ31" s="329" t="b">
        <f>(tblAssetMenuSpecs[[#This Row],[Asset class]] = RIGHT(tblAssetMenuSpecs[[#Headers],[Is Real Estate Other Developed Markets]],LEN(tblAssetMenuSpecs[[#Headers],[Is Real Estate Other Developed Markets]])-3))</f>
        <v>0</v>
      </c>
      <c r="BK31" s="329" t="b">
        <f>(tblAssetMenuSpecs[[#This Row],[Asset class]] = RIGHT(tblAssetMenuSpecs[[#Headers],[Is Real Estate Commercial EU (non-leveraged)]],LEN(tblAssetMenuSpecs[[#Headers],[Is Real Estate Commercial EU (non-leveraged)]])-3))</f>
        <v>0</v>
      </c>
      <c r="BL31" s="329" t="b">
        <f>(tblAssetMenuSpecs[[#This Row],[Asset class]] = RIGHT(tblAssetMenuSpecs[[#Headers],[Is Real Estate Residential EU (non-leveraged)]],LEN(tblAssetMenuSpecs[[#Headers],[Is Real Estate Residential EU (non-leveraged)]])-3))</f>
        <v>0</v>
      </c>
      <c r="BM31" s="329" t="b">
        <f>(tblAssetMenuSpecs[[#This Row],[Asset class]] = RIGHT(tblAssetMenuSpecs[[#Headers],[Is Government Bond EU]],LEN(tblAssetMenuSpecs[[#Headers],[Is Government Bond EU]])-3))</f>
        <v>0</v>
      </c>
      <c r="BN31" s="329" t="b">
        <f>(tblAssetMenuSpecs[[#This Row],[Asset class]] = RIGHT(tblAssetMenuSpecs[[#Headers],[Is Government Bond US]],LEN(tblAssetMenuSpecs[[#Headers],[Is Government Bond US]])-3))</f>
        <v>0</v>
      </c>
      <c r="BO31" s="329" t="b">
        <f>(tblAssetMenuSpecs[[#This Row],[Asset class]] = RIGHT(tblAssetMenuSpecs[[#Headers],[Is Government Bond Other Developed Markets]],LEN(tblAssetMenuSpecs[[#Headers],[Is Government Bond Other Developed Markets]])-3))</f>
        <v>0</v>
      </c>
      <c r="BP31" s="329" t="b">
        <f>(tblAssetMenuSpecs[[#This Row],[Asset class]] = RIGHT(tblAssetMenuSpecs[[#Headers],[Is Government Bond Emerging Markets]],LEN(tblAssetMenuSpecs[[#Headers],[Is Government Bond Emerging Markets]])-3))</f>
        <v>0</v>
      </c>
      <c r="BQ31" s="329" t="b">
        <f>(tblAssetMenuSpecs[[#This Row],[Asset class]] = RIGHT(tblAssetMenuSpecs[[#Headers],[Is Corporate Bond]],LEN(tblAssetMenuSpecs[[#Headers],[Is Corporate Bond]])-3))</f>
        <v>0</v>
      </c>
      <c r="BR31" s="329" t="b">
        <f>(tblAssetMenuSpecs[[#This Row],[Asset class]] = RIGHT(tblAssetMenuSpecs[[#Headers],[Is Corporate Bond Non-Financial]],LEN(tblAssetMenuSpecs[[#Headers],[Is Corporate Bond Non-Financial]])-3))</f>
        <v>0</v>
      </c>
      <c r="BS31" s="329" t="b">
        <f>(tblAssetMenuSpecs[[#This Row],[Asset class]] = RIGHT(tblAssetMenuSpecs[[#Headers],[Is Corporate Bond Financial]],LEN(tblAssetMenuSpecs[[#Headers],[Is Corporate Bond Financial]])-3))</f>
        <v>0</v>
      </c>
      <c r="BT31" s="329" t="b">
        <f>(tblAssetMenuSpecs[[#This Row],[Asset class]] = RIGHT(tblAssetMenuSpecs[[#Headers],[Is Cash and Deposits]],LEN(tblAssetMenuSpecs[[#Headers],[Is Cash and Deposits]])-3))</f>
        <v>1</v>
      </c>
    </row>
    <row r="32" spans="1:72" x14ac:dyDescent="0.25">
      <c r="A32" s="114"/>
      <c r="B32" s="109"/>
      <c r="E32" s="231"/>
      <c r="F32" s="278">
        <v>2</v>
      </c>
      <c r="G32" s="287" t="e">
        <f>tblAssetMenuSpecs[[#This Row],[Asset name]]</f>
        <v>#VALUE!</v>
      </c>
      <c r="H32" s="278" t="e">
        <f>tblAssetMenuSpecs[[#This Row],[Asset class]]</f>
        <v>#VALUE!</v>
      </c>
      <c r="I32" s="288" t="e">
        <f>tblAssetMenuSpecs[[#This Row],[InvestmentCost]]</f>
        <v>#VALUE!</v>
      </c>
      <c r="J32" s="287" t="e">
        <f>IF(tblAssetMenuSpecs[[#This Row],[Asset category]]="Fixed income",tblAssetMenuSpecs[[#This Row],[Duration]],"")</f>
        <v>#VALUE!</v>
      </c>
      <c r="K32" s="278" t="e">
        <f>IF(tblAssetMenuSpecs[[#This Row],[Asset category]]="Fixed income",tblAssetMenuSpecs[[#This Row],[Inflation linked]],"")</f>
        <v>#VALUE!</v>
      </c>
      <c r="L32" s="233"/>
      <c r="M32" s="231"/>
      <c r="N32" s="233"/>
      <c r="O32" s="231"/>
      <c r="P32" s="231"/>
      <c r="Q32" s="231"/>
      <c r="R32" s="231"/>
      <c r="S32" s="231"/>
      <c r="T32" s="231"/>
      <c r="U32" s="231"/>
      <c r="V32" s="231"/>
      <c r="W32" s="231"/>
      <c r="X32" s="231"/>
      <c r="Y32" s="231"/>
    </row>
    <row r="33" spans="1:25" x14ac:dyDescent="0.25">
      <c r="A33" s="114"/>
      <c r="B33" s="109"/>
      <c r="E33" s="231"/>
      <c r="F33" s="278">
        <v>3</v>
      </c>
      <c r="G33" s="287" t="e">
        <f>tblAssetMenuSpecs[[#This Row],[Asset name]]</f>
        <v>#VALUE!</v>
      </c>
      <c r="H33" s="278" t="e">
        <f>tblAssetMenuSpecs[[#This Row],[Asset class]]</f>
        <v>#VALUE!</v>
      </c>
      <c r="I33" s="288" t="e">
        <f>tblAssetMenuSpecs[[#This Row],[InvestmentCost]]</f>
        <v>#VALUE!</v>
      </c>
      <c r="J33" s="287" t="e">
        <f>IF(tblAssetMenuSpecs[[#This Row],[Asset category]]="Fixed income",tblAssetMenuSpecs[[#This Row],[Duration]],"")</f>
        <v>#VALUE!</v>
      </c>
      <c r="K33" s="278" t="e">
        <f>IF(tblAssetMenuSpecs[[#This Row],[Asset category]]="Fixed income",tblAssetMenuSpecs[[#This Row],[Inflation linked]],"")</f>
        <v>#VALUE!</v>
      </c>
      <c r="L33" s="233"/>
      <c r="M33" s="231"/>
      <c r="N33" s="233"/>
      <c r="O33" s="231"/>
      <c r="P33" s="231"/>
      <c r="Q33" s="231"/>
      <c r="R33" s="231"/>
      <c r="S33" s="231"/>
      <c r="T33" s="231"/>
      <c r="U33" s="231"/>
      <c r="V33" s="231"/>
      <c r="W33" s="231"/>
      <c r="X33" s="231"/>
      <c r="Y33" s="231"/>
    </row>
    <row r="34" spans="1:25" x14ac:dyDescent="0.25">
      <c r="A34" s="114"/>
      <c r="B34" s="109"/>
      <c r="E34" s="231"/>
      <c r="F34" s="278">
        <v>4</v>
      </c>
      <c r="G34" s="287" t="e">
        <f>tblAssetMenuSpecs[[#This Row],[Asset name]]</f>
        <v>#VALUE!</v>
      </c>
      <c r="H34" s="278" t="e">
        <f>tblAssetMenuSpecs[[#This Row],[Asset class]]</f>
        <v>#VALUE!</v>
      </c>
      <c r="I34" s="288" t="e">
        <f>tblAssetMenuSpecs[[#This Row],[InvestmentCost]]</f>
        <v>#VALUE!</v>
      </c>
      <c r="J34" s="287" t="e">
        <f>IF(tblAssetMenuSpecs[[#This Row],[Asset category]]="Fixed income",tblAssetMenuSpecs[[#This Row],[Duration]],"")</f>
        <v>#VALUE!</v>
      </c>
      <c r="K34" s="278" t="e">
        <f>IF(tblAssetMenuSpecs[[#This Row],[Asset category]]="Fixed income",tblAssetMenuSpecs[[#This Row],[Inflation linked]],"")</f>
        <v>#VALUE!</v>
      </c>
      <c r="L34" s="233"/>
      <c r="M34" s="231"/>
      <c r="N34" s="233"/>
      <c r="O34" s="231"/>
      <c r="P34" s="231"/>
      <c r="Q34" s="231"/>
      <c r="R34" s="231"/>
      <c r="S34" s="231"/>
      <c r="T34" s="231"/>
      <c r="U34" s="231"/>
      <c r="V34" s="231"/>
      <c r="W34" s="231"/>
      <c r="X34" s="231"/>
      <c r="Y34" s="231"/>
    </row>
    <row r="35" spans="1:25" x14ac:dyDescent="0.25">
      <c r="A35" s="114"/>
      <c r="B35" s="109"/>
      <c r="E35" s="231"/>
      <c r="F35" s="278">
        <v>5</v>
      </c>
      <c r="G35" s="287" t="e">
        <f>tblAssetMenuSpecs[[#This Row],[Asset name]]</f>
        <v>#VALUE!</v>
      </c>
      <c r="H35" s="278" t="e">
        <f>tblAssetMenuSpecs[[#This Row],[Asset class]]</f>
        <v>#VALUE!</v>
      </c>
      <c r="I35" s="288" t="e">
        <f>tblAssetMenuSpecs[[#This Row],[InvestmentCost]]</f>
        <v>#VALUE!</v>
      </c>
      <c r="J35" s="287" t="e">
        <f>IF(tblAssetMenuSpecs[[#This Row],[Asset category]]="Fixed income",tblAssetMenuSpecs[[#This Row],[Duration]],"")</f>
        <v>#VALUE!</v>
      </c>
      <c r="K35" s="278" t="e">
        <f>IF(tblAssetMenuSpecs[[#This Row],[Asset category]]="Fixed income",tblAssetMenuSpecs[[#This Row],[Inflation linked]],"")</f>
        <v>#VALUE!</v>
      </c>
      <c r="L35" s="233"/>
      <c r="M35" s="231"/>
      <c r="N35" s="233"/>
      <c r="O35" s="231"/>
      <c r="P35" s="231"/>
      <c r="Q35" s="231"/>
      <c r="R35" s="231"/>
      <c r="S35" s="231"/>
      <c r="T35" s="231"/>
      <c r="U35" s="231"/>
      <c r="V35" s="231"/>
      <c r="W35" s="231"/>
      <c r="X35" s="231"/>
      <c r="Y35" s="231"/>
    </row>
    <row r="36" spans="1:25" x14ac:dyDescent="0.25">
      <c r="A36" s="115"/>
      <c r="B36" s="109"/>
      <c r="E36" s="231"/>
      <c r="F36" s="278">
        <v>6</v>
      </c>
      <c r="G36" s="287" t="e">
        <f>tblAssetMenuSpecs[[#This Row],[Asset name]]</f>
        <v>#VALUE!</v>
      </c>
      <c r="H36" s="278" t="e">
        <f>tblAssetMenuSpecs[[#This Row],[Asset class]]</f>
        <v>#VALUE!</v>
      </c>
      <c r="I36" s="288" t="e">
        <f>tblAssetMenuSpecs[[#This Row],[InvestmentCost]]</f>
        <v>#VALUE!</v>
      </c>
      <c r="J36" s="287" t="e">
        <f>IF(tblAssetMenuSpecs[[#This Row],[Asset category]]="Fixed income",tblAssetMenuSpecs[[#This Row],[Duration]],"")</f>
        <v>#VALUE!</v>
      </c>
      <c r="K36" s="278" t="e">
        <f>IF(tblAssetMenuSpecs[[#This Row],[Asset category]]="Fixed income",tblAssetMenuSpecs[[#This Row],[Inflation linked]],"")</f>
        <v>#VALUE!</v>
      </c>
      <c r="L36" s="233"/>
      <c r="M36" s="231"/>
      <c r="N36" s="233"/>
      <c r="O36" s="231"/>
      <c r="P36" s="231"/>
      <c r="Q36" s="231"/>
      <c r="R36" s="231"/>
      <c r="S36" s="231"/>
      <c r="T36" s="231"/>
      <c r="U36" s="231"/>
      <c r="V36" s="231"/>
      <c r="W36" s="231"/>
      <c r="X36" s="231"/>
      <c r="Y36" s="231"/>
    </row>
    <row r="37" spans="1:25" x14ac:dyDescent="0.25">
      <c r="A37" s="114"/>
      <c r="B37" s="109"/>
      <c r="E37" s="231"/>
      <c r="F37" s="278">
        <v>7</v>
      </c>
      <c r="G37" s="287" t="e">
        <f>tblAssetMenuSpecs[[#This Row],[Asset name]]</f>
        <v>#VALUE!</v>
      </c>
      <c r="H37" s="278" t="e">
        <f>tblAssetMenuSpecs[[#This Row],[Asset class]]</f>
        <v>#VALUE!</v>
      </c>
      <c r="I37" s="288" t="e">
        <f>tblAssetMenuSpecs[[#This Row],[InvestmentCost]]</f>
        <v>#VALUE!</v>
      </c>
      <c r="J37" s="287" t="e">
        <f>IF(tblAssetMenuSpecs[[#This Row],[Asset category]]="Fixed income",tblAssetMenuSpecs[[#This Row],[Duration]],"")</f>
        <v>#VALUE!</v>
      </c>
      <c r="K37" s="278" t="e">
        <f>IF(tblAssetMenuSpecs[[#This Row],[Asset category]]="Fixed income",tblAssetMenuSpecs[[#This Row],[Inflation linked]],"")</f>
        <v>#VALUE!</v>
      </c>
      <c r="L37" s="233"/>
      <c r="M37" s="231"/>
      <c r="N37" s="233"/>
      <c r="O37" s="231"/>
      <c r="P37" s="231"/>
      <c r="Q37" s="231"/>
      <c r="R37" s="231"/>
      <c r="S37" s="231"/>
      <c r="T37" s="231"/>
      <c r="U37" s="231"/>
      <c r="V37" s="231"/>
      <c r="W37" s="231"/>
      <c r="X37" s="231"/>
      <c r="Y37" s="231"/>
    </row>
    <row r="38" spans="1:25" x14ac:dyDescent="0.25">
      <c r="A38" s="114"/>
      <c r="B38" s="109"/>
      <c r="E38" s="231"/>
      <c r="F38" s="278">
        <v>8</v>
      </c>
      <c r="G38" s="287" t="e">
        <f>tblAssetMenuSpecs[[#This Row],[Asset name]]</f>
        <v>#VALUE!</v>
      </c>
      <c r="H38" s="278" t="e">
        <f>tblAssetMenuSpecs[[#This Row],[Asset class]]</f>
        <v>#VALUE!</v>
      </c>
      <c r="I38" s="288" t="e">
        <f>tblAssetMenuSpecs[[#This Row],[InvestmentCost]]</f>
        <v>#VALUE!</v>
      </c>
      <c r="J38" s="287" t="e">
        <f>IF(tblAssetMenuSpecs[[#This Row],[Asset category]]="Fixed income",tblAssetMenuSpecs[[#This Row],[Duration]],"")</f>
        <v>#VALUE!</v>
      </c>
      <c r="K38" s="278" t="e">
        <f>IF(tblAssetMenuSpecs[[#This Row],[Asset category]]="Fixed income",tblAssetMenuSpecs[[#This Row],[Inflation linked]],"")</f>
        <v>#VALUE!</v>
      </c>
      <c r="L38" s="233"/>
      <c r="M38" s="231"/>
      <c r="N38" s="233"/>
      <c r="O38" s="231"/>
      <c r="P38" s="231"/>
      <c r="Q38" s="231"/>
      <c r="R38" s="231"/>
      <c r="S38" s="231"/>
      <c r="T38" s="231"/>
      <c r="U38" s="231"/>
      <c r="V38" s="231"/>
      <c r="W38" s="231"/>
      <c r="X38" s="231"/>
      <c r="Y38" s="231"/>
    </row>
    <row r="39" spans="1:25" x14ac:dyDescent="0.25">
      <c r="E39" s="231"/>
      <c r="F39" s="278">
        <v>9</v>
      </c>
      <c r="G39" s="287" t="e">
        <f>tblAssetMenuSpecs[[#This Row],[Asset name]]</f>
        <v>#VALUE!</v>
      </c>
      <c r="H39" s="278" t="e">
        <f>tblAssetMenuSpecs[[#This Row],[Asset class]]</f>
        <v>#VALUE!</v>
      </c>
      <c r="I39" s="288" t="e">
        <f>tblAssetMenuSpecs[[#This Row],[InvestmentCost]]</f>
        <v>#VALUE!</v>
      </c>
      <c r="J39" s="287" t="e">
        <f>IF(tblAssetMenuSpecs[[#This Row],[Asset category]]="Fixed income",tblAssetMenuSpecs[[#This Row],[Duration]],"")</f>
        <v>#VALUE!</v>
      </c>
      <c r="K39" s="278" t="e">
        <f>IF(tblAssetMenuSpecs[[#This Row],[Asset category]]="Fixed income",tblAssetMenuSpecs[[#This Row],[Inflation linked]],"")</f>
        <v>#VALUE!</v>
      </c>
      <c r="L39" s="231"/>
      <c r="M39" s="231"/>
      <c r="N39" s="233"/>
      <c r="O39" s="231"/>
      <c r="P39" s="231"/>
      <c r="Q39" s="231"/>
      <c r="R39" s="231"/>
      <c r="S39" s="231"/>
      <c r="T39" s="231"/>
      <c r="U39" s="231"/>
      <c r="V39" s="231"/>
      <c r="W39" s="231"/>
      <c r="X39" s="231"/>
      <c r="Y39" s="231"/>
    </row>
    <row r="40" spans="1:25" x14ac:dyDescent="0.25">
      <c r="E40" s="231"/>
      <c r="F40" s="278">
        <v>10</v>
      </c>
      <c r="G40" s="287" t="e">
        <f>tblAssetMenuSpecs[[#This Row],[Asset name]]</f>
        <v>#VALUE!</v>
      </c>
      <c r="H40" s="278" t="e">
        <f>tblAssetMenuSpecs[[#This Row],[Asset class]]</f>
        <v>#VALUE!</v>
      </c>
      <c r="I40" s="288" t="e">
        <f>tblAssetMenuSpecs[[#This Row],[InvestmentCost]]</f>
        <v>#VALUE!</v>
      </c>
      <c r="J40" s="287" t="e">
        <f>IF(tblAssetMenuSpecs[[#This Row],[Asset category]]="Fixed income",tblAssetMenuSpecs[[#This Row],[Duration]],"")</f>
        <v>#VALUE!</v>
      </c>
      <c r="K40" s="278" t="e">
        <f>IF(tblAssetMenuSpecs[[#This Row],[Asset category]]="Fixed income",tblAssetMenuSpecs[[#This Row],[Inflation linked]],"")</f>
        <v>#VALUE!</v>
      </c>
      <c r="L40" s="231"/>
      <c r="M40" s="231"/>
      <c r="N40" s="233"/>
      <c r="O40" s="231"/>
      <c r="P40" s="231"/>
      <c r="Q40" s="231"/>
      <c r="R40" s="231"/>
      <c r="S40" s="231"/>
      <c r="T40" s="231"/>
      <c r="U40" s="231"/>
      <c r="V40" s="231"/>
      <c r="W40" s="231"/>
      <c r="X40" s="231"/>
      <c r="Y40" s="231"/>
    </row>
    <row r="41" spans="1:25" x14ac:dyDescent="0.25">
      <c r="E41" s="231"/>
      <c r="F41" s="278">
        <v>11</v>
      </c>
      <c r="G41" s="287" t="e">
        <f>tblAssetMenuSpecs[[#This Row],[Asset name]]</f>
        <v>#VALUE!</v>
      </c>
      <c r="H41" s="278" t="e">
        <f>tblAssetMenuSpecs[[#This Row],[Asset class]]</f>
        <v>#VALUE!</v>
      </c>
      <c r="I41" s="288" t="e">
        <f>tblAssetMenuSpecs[[#This Row],[InvestmentCost]]</f>
        <v>#VALUE!</v>
      </c>
      <c r="J41" s="287" t="e">
        <f>IF(tblAssetMenuSpecs[[#This Row],[Asset category]]="Fixed income",tblAssetMenuSpecs[[#This Row],[Duration]],"")</f>
        <v>#VALUE!</v>
      </c>
      <c r="K41" s="278" t="e">
        <f>IF(tblAssetMenuSpecs[[#This Row],[Asset category]]="Fixed income",tblAssetMenuSpecs[[#This Row],[Inflation linked]],"")</f>
        <v>#VALUE!</v>
      </c>
      <c r="L41" s="231"/>
      <c r="M41" s="231"/>
      <c r="N41" s="233"/>
      <c r="O41" s="289"/>
      <c r="P41" s="289"/>
      <c r="Q41" s="289"/>
      <c r="R41" s="231"/>
      <c r="S41" s="231"/>
      <c r="T41" s="231"/>
      <c r="U41" s="231"/>
      <c r="V41" s="231"/>
      <c r="W41" s="231"/>
      <c r="X41" s="231"/>
      <c r="Y41" s="231"/>
    </row>
    <row r="42" spans="1:25" x14ac:dyDescent="0.25">
      <c r="E42" s="231"/>
      <c r="F42" s="278">
        <v>12</v>
      </c>
      <c r="G42" s="287" t="e">
        <f>tblAssetMenuSpecs[[#This Row],[Asset name]]</f>
        <v>#VALUE!</v>
      </c>
      <c r="H42" s="278" t="e">
        <f>tblAssetMenuSpecs[[#This Row],[Asset class]]</f>
        <v>#VALUE!</v>
      </c>
      <c r="I42" s="288" t="e">
        <f>tblAssetMenuSpecs[[#This Row],[InvestmentCost]]</f>
        <v>#VALUE!</v>
      </c>
      <c r="J42" s="287" t="e">
        <f>IF(tblAssetMenuSpecs[[#This Row],[Asset category]]="Fixed income",tblAssetMenuSpecs[[#This Row],[Duration]],"")</f>
        <v>#VALUE!</v>
      </c>
      <c r="K42" s="278" t="e">
        <f>IF(tblAssetMenuSpecs[[#This Row],[Asset category]]="Fixed income",tblAssetMenuSpecs[[#This Row],[Inflation linked]],"")</f>
        <v>#VALUE!</v>
      </c>
      <c r="L42" s="231"/>
      <c r="M42" s="231"/>
      <c r="N42" s="233"/>
      <c r="O42" s="231"/>
      <c r="P42" s="231"/>
      <c r="Q42" s="231"/>
      <c r="R42" s="231"/>
      <c r="S42" s="231"/>
      <c r="T42" s="231"/>
      <c r="U42" s="231"/>
      <c r="V42" s="231"/>
      <c r="W42" s="231"/>
      <c r="X42" s="231"/>
      <c r="Y42" s="231"/>
    </row>
    <row r="43" spans="1:25" x14ac:dyDescent="0.25">
      <c r="E43" s="231"/>
      <c r="F43" s="278">
        <v>13</v>
      </c>
      <c r="G43" s="287" t="e">
        <f>tblAssetMenuSpecs[[#This Row],[Asset name]]</f>
        <v>#VALUE!</v>
      </c>
      <c r="H43" s="278" t="e">
        <f>tblAssetMenuSpecs[[#This Row],[Asset class]]</f>
        <v>#VALUE!</v>
      </c>
      <c r="I43" s="288" t="e">
        <f>tblAssetMenuSpecs[[#This Row],[InvestmentCost]]</f>
        <v>#VALUE!</v>
      </c>
      <c r="J43" s="287" t="e">
        <f>IF(tblAssetMenuSpecs[[#This Row],[Asset category]]="Fixed income",tblAssetMenuSpecs[[#This Row],[Duration]],"")</f>
        <v>#VALUE!</v>
      </c>
      <c r="K43" s="278" t="e">
        <f>IF(tblAssetMenuSpecs[[#This Row],[Asset category]]="Fixed income",tblAssetMenuSpecs[[#This Row],[Inflation linked]],"")</f>
        <v>#VALUE!</v>
      </c>
      <c r="L43" s="231"/>
      <c r="M43" s="231"/>
      <c r="N43" s="233"/>
      <c r="O43" s="231"/>
      <c r="P43" s="231"/>
      <c r="Q43" s="231"/>
      <c r="R43" s="231"/>
      <c r="S43" s="231"/>
      <c r="T43" s="231"/>
      <c r="U43" s="231"/>
      <c r="V43" s="231"/>
      <c r="W43" s="231"/>
      <c r="X43" s="231"/>
      <c r="Y43" s="231"/>
    </row>
    <row r="44" spans="1:25" x14ac:dyDescent="0.25">
      <c r="E44" s="231"/>
      <c r="F44" s="278">
        <v>14</v>
      </c>
      <c r="G44" s="287" t="e">
        <f>tblAssetMenuSpecs[[#This Row],[Asset name]]</f>
        <v>#VALUE!</v>
      </c>
      <c r="H44" s="278" t="e">
        <f>tblAssetMenuSpecs[[#This Row],[Asset class]]</f>
        <v>#VALUE!</v>
      </c>
      <c r="I44" s="288" t="e">
        <f>tblAssetMenuSpecs[[#This Row],[InvestmentCost]]</f>
        <v>#VALUE!</v>
      </c>
      <c r="J44" s="287" t="e">
        <f>IF(tblAssetMenuSpecs[[#This Row],[Asset category]]="Fixed income",tblAssetMenuSpecs[[#This Row],[Duration]],"")</f>
        <v>#VALUE!</v>
      </c>
      <c r="K44" s="278" t="e">
        <f>IF(tblAssetMenuSpecs[[#This Row],[Asset category]]="Fixed income",tblAssetMenuSpecs[[#This Row],[Inflation linked]],"")</f>
        <v>#VALUE!</v>
      </c>
      <c r="L44" s="231"/>
      <c r="M44" s="231"/>
      <c r="N44" s="233"/>
      <c r="O44" s="231"/>
      <c r="P44" s="231"/>
      <c r="Q44" s="231"/>
      <c r="R44" s="231"/>
      <c r="S44" s="231"/>
      <c r="T44" s="231"/>
      <c r="U44" s="231"/>
      <c r="V44" s="231"/>
      <c r="W44" s="231"/>
      <c r="X44" s="231"/>
      <c r="Y44" s="231"/>
    </row>
    <row r="45" spans="1:25" x14ac:dyDescent="0.25">
      <c r="E45" s="231"/>
      <c r="F45" s="278">
        <v>15</v>
      </c>
      <c r="G45" s="287" t="e">
        <f>tblAssetMenuSpecs[[#This Row],[Asset name]]</f>
        <v>#VALUE!</v>
      </c>
      <c r="H45" s="278" t="e">
        <f>tblAssetMenuSpecs[[#This Row],[Asset class]]</f>
        <v>#VALUE!</v>
      </c>
      <c r="I45" s="288" t="e">
        <f>tblAssetMenuSpecs[[#This Row],[InvestmentCost]]</f>
        <v>#VALUE!</v>
      </c>
      <c r="J45" s="287" t="e">
        <f>IF(tblAssetMenuSpecs[[#This Row],[Asset category]]="Fixed income",tblAssetMenuSpecs[[#This Row],[Duration]],"")</f>
        <v>#VALUE!</v>
      </c>
      <c r="K45" s="278" t="e">
        <f>IF(tblAssetMenuSpecs[[#This Row],[Asset category]]="Fixed income",tblAssetMenuSpecs[[#This Row],[Inflation linked]],"")</f>
        <v>#VALUE!</v>
      </c>
      <c r="L45" s="231"/>
      <c r="M45" s="231"/>
      <c r="N45" s="233"/>
      <c r="O45" s="231"/>
      <c r="P45" s="231"/>
      <c r="Q45" s="231"/>
      <c r="R45" s="231"/>
      <c r="S45" s="231"/>
      <c r="T45" s="231"/>
      <c r="U45" s="231"/>
      <c r="V45" s="231"/>
      <c r="W45" s="231"/>
      <c r="X45" s="231"/>
      <c r="Y45" s="231"/>
    </row>
    <row r="46" spans="1:25" x14ac:dyDescent="0.25">
      <c r="E46" s="231"/>
      <c r="F46" s="278">
        <v>16</v>
      </c>
      <c r="G46" s="287" t="e">
        <f>tblAssetMenuSpecs[[#This Row],[Asset name]]</f>
        <v>#VALUE!</v>
      </c>
      <c r="H46" s="278" t="e">
        <f>tblAssetMenuSpecs[[#This Row],[Asset class]]</f>
        <v>#VALUE!</v>
      </c>
      <c r="I46" s="288" t="e">
        <f>tblAssetMenuSpecs[[#This Row],[InvestmentCost]]</f>
        <v>#VALUE!</v>
      </c>
      <c r="J46" s="287" t="e">
        <f>IF(tblAssetMenuSpecs[[#This Row],[Asset category]]="Fixed income",tblAssetMenuSpecs[[#This Row],[Duration]],"")</f>
        <v>#VALUE!</v>
      </c>
      <c r="K46" s="278" t="e">
        <f>IF(tblAssetMenuSpecs[[#This Row],[Asset category]]="Fixed income",tblAssetMenuSpecs[[#This Row],[Inflation linked]],"")</f>
        <v>#VALUE!</v>
      </c>
      <c r="L46" s="231"/>
      <c r="M46" s="231"/>
      <c r="N46" s="233"/>
      <c r="O46" s="231"/>
      <c r="P46" s="231"/>
      <c r="Q46" s="231"/>
      <c r="R46" s="231"/>
      <c r="S46" s="231"/>
      <c r="T46" s="231"/>
      <c r="U46" s="231"/>
      <c r="V46" s="231"/>
      <c r="W46" s="231"/>
      <c r="X46" s="231"/>
      <c r="Y46" s="231"/>
    </row>
    <row r="47" spans="1:25" x14ac:dyDescent="0.25">
      <c r="E47" s="231"/>
      <c r="F47" s="278">
        <v>17</v>
      </c>
      <c r="G47" s="287" t="e">
        <f>tblAssetMenuSpecs[[#This Row],[Asset name]]</f>
        <v>#VALUE!</v>
      </c>
      <c r="H47" s="278" t="e">
        <f>tblAssetMenuSpecs[[#This Row],[Asset class]]</f>
        <v>#VALUE!</v>
      </c>
      <c r="I47" s="288" t="e">
        <f>tblAssetMenuSpecs[[#This Row],[InvestmentCost]]</f>
        <v>#VALUE!</v>
      </c>
      <c r="J47" s="287" t="e">
        <f>IF(tblAssetMenuSpecs[[#This Row],[Asset category]]="Fixed income",tblAssetMenuSpecs[[#This Row],[Duration]],"")</f>
        <v>#VALUE!</v>
      </c>
      <c r="K47" s="278" t="e">
        <f>IF(tblAssetMenuSpecs[[#This Row],[Asset category]]="Fixed income",tblAssetMenuSpecs[[#This Row],[Inflation linked]],"")</f>
        <v>#VALUE!</v>
      </c>
      <c r="L47" s="231"/>
      <c r="M47" s="231"/>
      <c r="N47" s="233"/>
      <c r="O47" s="231"/>
      <c r="P47" s="231"/>
      <c r="Q47" s="231"/>
      <c r="R47" s="231"/>
      <c r="S47" s="231"/>
      <c r="T47" s="231"/>
      <c r="U47" s="231"/>
      <c r="V47" s="231"/>
      <c r="W47" s="231"/>
      <c r="X47" s="231"/>
      <c r="Y47" s="231"/>
    </row>
    <row r="48" spans="1:25" x14ac:dyDescent="0.25">
      <c r="E48" s="231"/>
      <c r="F48" s="278">
        <v>18</v>
      </c>
      <c r="G48" s="287" t="e">
        <f>tblAssetMenuSpecs[[#This Row],[Asset name]]</f>
        <v>#VALUE!</v>
      </c>
      <c r="H48" s="278" t="e">
        <f>tblAssetMenuSpecs[[#This Row],[Asset class]]</f>
        <v>#VALUE!</v>
      </c>
      <c r="I48" s="288" t="e">
        <f>tblAssetMenuSpecs[[#This Row],[InvestmentCost]]</f>
        <v>#VALUE!</v>
      </c>
      <c r="J48" s="287" t="e">
        <f>IF(tblAssetMenuSpecs[[#This Row],[Asset category]]="Fixed income",tblAssetMenuSpecs[[#This Row],[Duration]],"")</f>
        <v>#VALUE!</v>
      </c>
      <c r="K48" s="278" t="e">
        <f>IF(tblAssetMenuSpecs[[#This Row],[Asset category]]="Fixed income",tblAssetMenuSpecs[[#This Row],[Inflation linked]],"")</f>
        <v>#VALUE!</v>
      </c>
      <c r="L48" s="231"/>
      <c r="M48" s="231"/>
      <c r="N48" s="233"/>
      <c r="O48" s="231"/>
      <c r="P48" s="231"/>
      <c r="Q48" s="231"/>
      <c r="R48" s="231"/>
      <c r="S48" s="231"/>
      <c r="T48" s="231"/>
      <c r="U48" s="231"/>
      <c r="V48" s="231"/>
      <c r="W48" s="231"/>
      <c r="X48" s="231"/>
      <c r="Y48" s="231"/>
    </row>
    <row r="49" spans="5:25" x14ac:dyDescent="0.25">
      <c r="E49" s="231"/>
      <c r="F49" s="278">
        <v>19</v>
      </c>
      <c r="G49" s="287" t="e">
        <f>tblAssetMenuSpecs[[#This Row],[Asset name]]</f>
        <v>#VALUE!</v>
      </c>
      <c r="H49" s="278" t="e">
        <f>tblAssetMenuSpecs[[#This Row],[Asset class]]</f>
        <v>#VALUE!</v>
      </c>
      <c r="I49" s="288" t="e">
        <f>tblAssetMenuSpecs[[#This Row],[InvestmentCost]]</f>
        <v>#VALUE!</v>
      </c>
      <c r="J49" s="287" t="e">
        <f>IF(tblAssetMenuSpecs[[#This Row],[Asset category]]="Fixed income",tblAssetMenuSpecs[[#This Row],[Duration]],"")</f>
        <v>#VALUE!</v>
      </c>
      <c r="K49" s="278" t="e">
        <f>IF(tblAssetMenuSpecs[[#This Row],[Asset category]]="Fixed income",tblAssetMenuSpecs[[#This Row],[Inflation linked]],"")</f>
        <v>#VALUE!</v>
      </c>
      <c r="L49" s="231"/>
      <c r="M49" s="231"/>
      <c r="N49" s="233"/>
      <c r="O49" s="231"/>
      <c r="P49" s="231"/>
      <c r="Q49" s="231"/>
      <c r="R49" s="231"/>
      <c r="S49" s="231"/>
      <c r="T49" s="231"/>
      <c r="U49" s="231"/>
      <c r="V49" s="231"/>
      <c r="W49" s="231"/>
      <c r="X49" s="231"/>
      <c r="Y49" s="231"/>
    </row>
    <row r="50" spans="5:25" x14ac:dyDescent="0.25">
      <c r="E50" s="231"/>
      <c r="F50" s="278">
        <v>20</v>
      </c>
      <c r="G50" s="287" t="e">
        <f>tblAssetMenuSpecs[[#This Row],[Asset name]]</f>
        <v>#VALUE!</v>
      </c>
      <c r="H50" s="278" t="e">
        <f>tblAssetMenuSpecs[[#This Row],[Asset class]]</f>
        <v>#VALUE!</v>
      </c>
      <c r="I50" s="288" t="e">
        <f>tblAssetMenuSpecs[[#This Row],[InvestmentCost]]</f>
        <v>#VALUE!</v>
      </c>
      <c r="J50" s="287" t="e">
        <f>IF(tblAssetMenuSpecs[[#This Row],[Asset category]]="Fixed income",tblAssetMenuSpecs[[#This Row],[Duration]],"")</f>
        <v>#VALUE!</v>
      </c>
      <c r="K50" s="278" t="e">
        <f>IF(tblAssetMenuSpecs[[#This Row],[Asset category]]="Fixed income",tblAssetMenuSpecs[[#This Row],[Inflation linked]],"")</f>
        <v>#VALUE!</v>
      </c>
      <c r="L50" s="231"/>
      <c r="M50" s="231"/>
      <c r="N50" s="233"/>
      <c r="O50" s="231"/>
      <c r="P50" s="231"/>
      <c r="Q50" s="231"/>
      <c r="R50" s="231"/>
      <c r="S50" s="231"/>
      <c r="T50" s="231"/>
      <c r="U50" s="231"/>
      <c r="V50" s="231"/>
      <c r="W50" s="231"/>
      <c r="X50" s="231"/>
      <c r="Y50" s="231"/>
    </row>
    <row r="51" spans="5:25" x14ac:dyDescent="0.25"/>
  </sheetData>
  <sheetProtection algorithmName="SHA-512" hashValue="BooTMjDT/Iz/cfX97bQFYeazpwjUYBeQbuNLgXwXCHKV7AiYJPmm6EyV+SpxKemZMp+JFzIU/ABbuGBGVo/mnA==" saltValue="gFNY7DnIFzpRZHTMDvo4Sg==" spinCount="100000" sheet="1" objects="1" scenarios="1" selectLockedCells="1"/>
  <dataConsolidate leftLabels="1" link="1"/>
  <mergeCells count="5">
    <mergeCell ref="F16:I16"/>
    <mergeCell ref="F6:G6"/>
    <mergeCell ref="G11:H11"/>
    <mergeCell ref="F7:I7"/>
    <mergeCell ref="F29:K29"/>
  </mergeCells>
  <conditionalFormatting sqref="G26:H26">
    <cfRule type="expression" dxfId="162" priority="50">
      <formula>$C23</formula>
    </cfRule>
  </conditionalFormatting>
  <conditionalFormatting sqref="G24:H24">
    <cfRule type="expression" dxfId="161" priority="51">
      <formula>$C22</formula>
    </cfRule>
  </conditionalFormatting>
  <conditionalFormatting sqref="G25:H25">
    <cfRule type="expression" dxfId="160" priority="52">
      <formula>$C24</formula>
    </cfRule>
  </conditionalFormatting>
  <conditionalFormatting sqref="F31:K50">
    <cfRule type="expression" dxfId="159" priority="40">
      <formula>($F31=CurrentAssetNo)</formula>
    </cfRule>
    <cfRule type="expression" dxfId="158" priority="41">
      <formula>$F31&gt;NumberOfAssets</formula>
    </cfRule>
  </conditionalFormatting>
  <dataValidations count="6">
    <dataValidation type="whole" showInputMessage="1" showErrorMessage="1" sqref="H9">
      <formula1>1</formula1>
      <formula2>NumberOfAssets</formula2>
    </dataValidation>
    <dataValidation type="list" showInputMessage="1" showErrorMessage="1" sqref="H18">
      <formula1>AssetTypes</formula1>
    </dataValidation>
    <dataValidation type="decimal" allowBlank="1" showInputMessage="1" showErrorMessage="1" errorTitle="Input error" error="Incorrect investment cost. Percentage should be between 0% and 100%." sqref="H22">
      <formula1>0</formula1>
      <formula2>1</formula2>
    </dataValidation>
    <dataValidation type="list" allowBlank="1" showInputMessage="1" showErrorMessage="1" sqref="H25 AS31">
      <formula1>"TRUE, FALSE"</formula1>
    </dataValidation>
    <dataValidation type="list" allowBlank="1" showInputMessage="1" showErrorMessage="1" sqref="AT31">
      <formula1>SpreadTypes</formula1>
    </dataValidation>
    <dataValidation type="list" allowBlank="1" showInputMessage="1" showErrorMessage="1" sqref="AC31">
      <formula1>AssetTypes</formula1>
    </dataValidation>
  </dataValidations>
  <pageMargins left="0.7" right="0.7" top="0.75" bottom="0.75" header="0.3" footer="0.3"/>
  <pageSetup orientation="portrait" r:id="rId1"/>
  <ignoredErrors>
    <ignoredError sqref="G37:H50 J36:J50 K36:K50"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11324" r:id="rId4" name="btnNextRecord">
              <controlPr defaultSize="0" print="0" autoFill="0" autoPict="0" macro="[0]!btnNextRecord_Click">
                <anchor moveWithCells="1">
                  <from>
                    <xdr:col>7</xdr:col>
                    <xdr:colOff>685800</xdr:colOff>
                    <xdr:row>9</xdr:row>
                    <xdr:rowOff>47625</xdr:rowOff>
                  </from>
                  <to>
                    <xdr:col>7</xdr:col>
                    <xdr:colOff>981075</xdr:colOff>
                    <xdr:row>10</xdr:row>
                    <xdr:rowOff>38100</xdr:rowOff>
                  </to>
                </anchor>
              </controlPr>
            </control>
          </mc:Choice>
        </mc:AlternateContent>
        <mc:AlternateContent xmlns:mc="http://schemas.openxmlformats.org/markup-compatibility/2006">
          <mc:Choice Requires="x14">
            <control shapeId="11325" r:id="rId5" name="btnPreviousRecord">
              <controlPr defaultSize="0" print="0" autoFill="0" autoPict="0" macro="[0]!btnPreviousRecord_Click">
                <anchor moveWithCells="1">
                  <from>
                    <xdr:col>7</xdr:col>
                    <xdr:colOff>314325</xdr:colOff>
                    <xdr:row>9</xdr:row>
                    <xdr:rowOff>47625</xdr:rowOff>
                  </from>
                  <to>
                    <xdr:col>7</xdr:col>
                    <xdr:colOff>609600</xdr:colOff>
                    <xdr:row>10</xdr:row>
                    <xdr:rowOff>38100</xdr:rowOff>
                  </to>
                </anchor>
              </controlPr>
            </control>
          </mc:Choice>
        </mc:AlternateContent>
        <mc:AlternateContent xmlns:mc="http://schemas.openxmlformats.org/markup-compatibility/2006">
          <mc:Choice Requires="x14">
            <control shapeId="11326" r:id="rId6" name="btnLastRecord">
              <controlPr defaultSize="0" print="0" autoFill="0" autoPict="0" macro="[0]!btnLastRecord_Click">
                <anchor moveWithCells="1">
                  <from>
                    <xdr:col>7</xdr:col>
                    <xdr:colOff>1000125</xdr:colOff>
                    <xdr:row>9</xdr:row>
                    <xdr:rowOff>47625</xdr:rowOff>
                  </from>
                  <to>
                    <xdr:col>7</xdr:col>
                    <xdr:colOff>1295400</xdr:colOff>
                    <xdr:row>10</xdr:row>
                    <xdr:rowOff>38100</xdr:rowOff>
                  </to>
                </anchor>
              </controlPr>
            </control>
          </mc:Choice>
        </mc:AlternateContent>
        <mc:AlternateContent xmlns:mc="http://schemas.openxmlformats.org/markup-compatibility/2006">
          <mc:Choice Requires="x14">
            <control shapeId="11327" r:id="rId7" name="btnFirstRecord">
              <controlPr defaultSize="0" print="0" autoFill="0" autoPict="0" macro="[0]!btnFirstRecord_Click">
                <anchor moveWithCells="1">
                  <from>
                    <xdr:col>6</xdr:col>
                    <xdr:colOff>1428750</xdr:colOff>
                    <xdr:row>9</xdr:row>
                    <xdr:rowOff>47625</xdr:rowOff>
                  </from>
                  <to>
                    <xdr:col>7</xdr:col>
                    <xdr:colOff>285750</xdr:colOff>
                    <xdr:row>10</xdr:row>
                    <xdr:rowOff>38100</xdr:rowOff>
                  </to>
                </anchor>
              </controlPr>
            </control>
          </mc:Choice>
        </mc:AlternateContent>
        <mc:AlternateContent xmlns:mc="http://schemas.openxmlformats.org/markup-compatibility/2006">
          <mc:Choice Requires="x14">
            <control shapeId="11329" r:id="rId8" name="btnAddAsset">
              <controlPr defaultSize="0" print="0" autoFill="0" autoPict="0" macro="[0]!btnAddAsset_Click">
                <anchor moveWithCells="1">
                  <from>
                    <xdr:col>6</xdr:col>
                    <xdr:colOff>1143000</xdr:colOff>
                    <xdr:row>10</xdr:row>
                    <xdr:rowOff>114300</xdr:rowOff>
                  </from>
                  <to>
                    <xdr:col>7</xdr:col>
                    <xdr:colOff>285750</xdr:colOff>
                    <xdr:row>11</xdr:row>
                    <xdr:rowOff>123825</xdr:rowOff>
                  </to>
                </anchor>
              </controlPr>
            </control>
          </mc:Choice>
        </mc:AlternateContent>
        <mc:AlternateContent xmlns:mc="http://schemas.openxmlformats.org/markup-compatibility/2006">
          <mc:Choice Requires="x14">
            <control shapeId="11330" r:id="rId9" name="btnDeleteAsset">
              <controlPr defaultSize="0" print="0" autoFill="0" autoPict="0" macro="[0]!btnDeleteAsset_Click">
                <anchor moveWithCells="1">
                  <from>
                    <xdr:col>7</xdr:col>
                    <xdr:colOff>352425</xdr:colOff>
                    <xdr:row>10</xdr:row>
                    <xdr:rowOff>114300</xdr:rowOff>
                  </from>
                  <to>
                    <xdr:col>7</xdr:col>
                    <xdr:colOff>933450</xdr:colOff>
                    <xdr:row>11</xdr:row>
                    <xdr:rowOff>123825</xdr:rowOff>
                  </to>
                </anchor>
              </controlPr>
            </control>
          </mc:Choice>
        </mc:AlternateContent>
        <mc:AlternateContent xmlns:mc="http://schemas.openxmlformats.org/markup-compatibility/2006">
          <mc:Choice Requires="x14">
            <control shapeId="11331" r:id="rId10" name="btnSaveAsset">
              <controlPr defaultSize="0" print="0" autoFill="0" autoPict="0" macro="[0]!btnSaveAsset_Click">
                <anchor moveWithCells="1">
                  <from>
                    <xdr:col>7</xdr:col>
                    <xdr:colOff>1009650</xdr:colOff>
                    <xdr:row>10</xdr:row>
                    <xdr:rowOff>114300</xdr:rowOff>
                  </from>
                  <to>
                    <xdr:col>7</xdr:col>
                    <xdr:colOff>1609725</xdr:colOff>
                    <xdr:row>11</xdr:row>
                    <xdr:rowOff>123825</xdr:rowOff>
                  </to>
                </anchor>
              </controlPr>
            </control>
          </mc:Choice>
        </mc:AlternateContent>
        <mc:AlternateContent xmlns:mc="http://schemas.openxmlformats.org/markup-compatibility/2006">
          <mc:Choice Requires="x14">
            <control shapeId="11344" r:id="rId11" name="btnMoveUpAsset">
              <controlPr defaultSize="0" print="0" autoFill="0" autoPict="0" macro="[0]!btnMoveAssetUp_Click">
                <anchor moveWithCells="1">
                  <from>
                    <xdr:col>6</xdr:col>
                    <xdr:colOff>1114425</xdr:colOff>
                    <xdr:row>12</xdr:row>
                    <xdr:rowOff>0</xdr:rowOff>
                  </from>
                  <to>
                    <xdr:col>7</xdr:col>
                    <xdr:colOff>590550</xdr:colOff>
                    <xdr:row>13</xdr:row>
                    <xdr:rowOff>0</xdr:rowOff>
                  </to>
                </anchor>
              </controlPr>
            </control>
          </mc:Choice>
        </mc:AlternateContent>
        <mc:AlternateContent xmlns:mc="http://schemas.openxmlformats.org/markup-compatibility/2006">
          <mc:Choice Requires="x14">
            <control shapeId="11346" r:id="rId12" name="btnMoveDownAsset">
              <controlPr defaultSize="0" print="0" autoFill="0" autoPict="0" macro="[0]!btnMoveAssetDown_Click">
                <anchor moveWithCells="1">
                  <from>
                    <xdr:col>7</xdr:col>
                    <xdr:colOff>704850</xdr:colOff>
                    <xdr:row>12</xdr:row>
                    <xdr:rowOff>0</xdr:rowOff>
                  </from>
                  <to>
                    <xdr:col>7</xdr:col>
                    <xdr:colOff>1638300</xdr:colOff>
                    <xdr:row>13</xdr:row>
                    <xdr:rowOff>0</xdr:rowOff>
                  </to>
                </anchor>
              </controlPr>
            </control>
          </mc:Choice>
        </mc:AlternateContent>
      </controls>
    </mc:Choice>
  </mc:AlternateContent>
  <tableParts count="1">
    <tablePart r:id="rId13"/>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FFFF00"/>
  </sheetPr>
  <dimension ref="A1:BF147"/>
  <sheetViews>
    <sheetView topLeftCell="D37" zoomScaleNormal="100" workbookViewId="0">
      <selection activeCell="Q47" sqref="Q47:Q147"/>
    </sheetView>
  </sheetViews>
  <sheetFormatPr defaultColWidth="0" defaultRowHeight="15" customHeight="1" x14ac:dyDescent="0.25"/>
  <cols>
    <col min="1" max="1" width="21" style="114" hidden="1" customWidth="1"/>
    <col min="2" max="2" width="14.140625" style="114" hidden="1" customWidth="1"/>
    <col min="3" max="3" width="10.5703125" style="114" hidden="1" customWidth="1"/>
    <col min="4" max="4" width="6" style="91" customWidth="1"/>
    <col min="5" max="5" width="7.42578125" style="91" customWidth="1"/>
    <col min="6" max="6" width="5.7109375" style="91" customWidth="1"/>
    <col min="7" max="7" width="13.28515625" style="91" customWidth="1"/>
    <col min="8" max="8" width="17.28515625" style="91" customWidth="1"/>
    <col min="9" max="9" width="4.42578125" style="91" customWidth="1"/>
    <col min="10" max="10" width="12.7109375" style="91" customWidth="1"/>
    <col min="11" max="11" width="4.7109375" style="101" customWidth="1"/>
    <col min="12" max="12" width="18.7109375" style="91" customWidth="1"/>
    <col min="13" max="13" width="10.5703125" style="91" customWidth="1"/>
    <col min="14" max="15" width="3.140625" style="91" customWidth="1"/>
    <col min="16" max="16" width="4.42578125" style="91" customWidth="1"/>
    <col min="17" max="57" width="10.7109375" style="91" customWidth="1"/>
    <col min="58" max="58" width="9.140625" style="91" customWidth="1"/>
    <col min="59" max="16384" width="9.140625" style="91" hidden="1"/>
  </cols>
  <sheetData>
    <row r="1" spans="1:36" s="89" customFormat="1" ht="15" hidden="1" customHeight="1" x14ac:dyDescent="0.25">
      <c r="A1" s="89" t="s">
        <v>71</v>
      </c>
      <c r="B1" s="89" t="s">
        <v>75</v>
      </c>
      <c r="N1" s="114"/>
      <c r="O1" s="114"/>
      <c r="Q1" s="94"/>
      <c r="R1" s="94"/>
      <c r="S1" s="94"/>
      <c r="T1" s="94"/>
      <c r="U1" s="94"/>
      <c r="V1" s="94"/>
      <c r="W1" s="94"/>
      <c r="X1" s="94"/>
      <c r="Y1" s="94"/>
      <c r="Z1" s="94"/>
      <c r="AA1" s="94"/>
      <c r="AB1" s="94"/>
      <c r="AC1" s="94"/>
      <c r="AD1" s="94"/>
      <c r="AE1" s="94"/>
      <c r="AF1" s="94"/>
      <c r="AG1" s="94"/>
      <c r="AH1" s="94"/>
      <c r="AI1" s="94"/>
      <c r="AJ1" s="94"/>
    </row>
    <row r="2" spans="1:36" s="90" customFormat="1" ht="15" customHeight="1" x14ac:dyDescent="0.25">
      <c r="A2" s="89" t="s">
        <v>73</v>
      </c>
      <c r="B2" s="89">
        <v>1.1000000000000001</v>
      </c>
      <c r="C2" s="89"/>
      <c r="E2" s="91"/>
      <c r="N2" s="91"/>
      <c r="O2" s="91"/>
    </row>
    <row r="3" spans="1:36" s="90" customFormat="1" ht="15" customHeight="1" x14ac:dyDescent="0.25">
      <c r="A3" s="89" t="s">
        <v>89</v>
      </c>
      <c r="B3" s="89">
        <v>2</v>
      </c>
      <c r="C3" s="89"/>
      <c r="E3" s="91"/>
      <c r="N3" s="91"/>
      <c r="O3" s="91"/>
      <c r="S3" s="91"/>
      <c r="T3" s="91"/>
      <c r="U3" s="91"/>
      <c r="V3" s="91"/>
    </row>
    <row r="4" spans="1:36" s="90" customFormat="1" ht="26.25" x14ac:dyDescent="0.4">
      <c r="A4" s="89" t="s">
        <v>90</v>
      </c>
      <c r="B4" s="89">
        <v>4</v>
      </c>
      <c r="C4" s="89"/>
      <c r="E4" s="91"/>
      <c r="I4" s="92" t="s">
        <v>56</v>
      </c>
      <c r="N4" s="91"/>
      <c r="O4" s="91"/>
      <c r="S4" s="91"/>
      <c r="T4" s="101"/>
      <c r="U4" s="128"/>
      <c r="V4" s="91"/>
    </row>
    <row r="5" spans="1:36" s="90" customFormat="1" ht="15" customHeight="1" x14ac:dyDescent="0.25">
      <c r="A5" s="89" t="s">
        <v>91</v>
      </c>
      <c r="B5" s="89">
        <v>83</v>
      </c>
      <c r="C5" s="89"/>
      <c r="E5" s="91"/>
      <c r="N5" s="91"/>
      <c r="O5" s="91"/>
      <c r="S5" s="91"/>
      <c r="T5" s="129"/>
      <c r="U5" s="128"/>
      <c r="V5" s="91"/>
    </row>
    <row r="6" spans="1:36" s="90" customFormat="1" ht="15" customHeight="1" x14ac:dyDescent="0.25">
      <c r="A6" s="89" t="s">
        <v>92</v>
      </c>
      <c r="B6" s="89">
        <v>58</v>
      </c>
      <c r="C6" s="89"/>
      <c r="E6" s="91"/>
      <c r="N6" s="91"/>
      <c r="O6" s="91"/>
      <c r="S6" s="91"/>
      <c r="T6" s="91"/>
      <c r="U6" s="91"/>
      <c r="V6" s="91"/>
    </row>
    <row r="7" spans="1:36" s="90" customFormat="1" ht="15" customHeight="1" x14ac:dyDescent="0.25">
      <c r="A7" s="89" t="s">
        <v>94</v>
      </c>
      <c r="B7" s="89" t="b">
        <f>NOT(IsCalculationTool)</f>
        <v>1</v>
      </c>
      <c r="C7" s="89"/>
      <c r="E7" s="91"/>
      <c r="N7" s="91"/>
      <c r="O7" s="91"/>
      <c r="T7" s="91"/>
      <c r="U7" s="91"/>
    </row>
    <row r="8" spans="1:36" s="90" customFormat="1" ht="15" customHeight="1" x14ac:dyDescent="0.25">
      <c r="A8" s="89" t="s">
        <v>96</v>
      </c>
      <c r="B8" s="89" t="b">
        <v>1</v>
      </c>
      <c r="C8" s="89"/>
      <c r="E8" s="91"/>
      <c r="K8" s="91"/>
      <c r="N8" s="91"/>
      <c r="O8" s="91"/>
    </row>
    <row r="9" spans="1:36" s="90" customFormat="1" ht="18.75" x14ac:dyDescent="0.3">
      <c r="A9" s="90" t="s">
        <v>434</v>
      </c>
      <c r="B9" s="130" t="b">
        <v>0</v>
      </c>
      <c r="C9" s="89"/>
      <c r="E9" s="349" t="s">
        <v>57</v>
      </c>
      <c r="F9" s="349"/>
      <c r="G9" s="349"/>
      <c r="H9" s="349"/>
      <c r="I9" s="349"/>
      <c r="J9" s="349"/>
      <c r="K9" s="349"/>
      <c r="L9" s="349"/>
      <c r="M9" s="349"/>
      <c r="N9" s="101"/>
      <c r="O9" s="101"/>
      <c r="P9" s="93" t="s">
        <v>157</v>
      </c>
      <c r="Q9" s="131"/>
      <c r="R9" s="131"/>
      <c r="S9" s="131"/>
      <c r="T9" s="131"/>
      <c r="U9" s="131"/>
      <c r="V9" s="131"/>
      <c r="W9" s="131"/>
      <c r="X9" s="132"/>
    </row>
    <row r="10" spans="1:36" s="90" customFormat="1" x14ac:dyDescent="0.25">
      <c r="A10" s="89"/>
      <c r="B10" s="89"/>
      <c r="C10" s="89"/>
      <c r="E10" s="95"/>
      <c r="F10" s="95"/>
      <c r="G10" s="95"/>
      <c r="H10" s="95"/>
      <c r="I10" s="95"/>
      <c r="J10" s="95"/>
      <c r="K10" s="110"/>
      <c r="L10" s="110"/>
      <c r="M10" s="110"/>
      <c r="N10" s="91"/>
      <c r="O10" s="91"/>
      <c r="Q10" s="132"/>
      <c r="R10" s="132"/>
      <c r="S10" s="132"/>
      <c r="T10" s="132"/>
      <c r="U10" s="132"/>
      <c r="V10" s="132"/>
      <c r="W10" s="132"/>
      <c r="X10" s="132"/>
    </row>
    <row r="11" spans="1:36" s="90" customFormat="1" x14ac:dyDescent="0.25">
      <c r="A11" s="89"/>
      <c r="B11" s="89"/>
      <c r="C11" s="89"/>
      <c r="E11" s="95"/>
      <c r="F11" s="95" t="s">
        <v>58</v>
      </c>
      <c r="G11" s="95"/>
      <c r="H11" s="95"/>
      <c r="I11" s="95"/>
      <c r="J11" s="133" t="s">
        <v>125</v>
      </c>
      <c r="K11" s="134"/>
      <c r="L11" s="134"/>
      <c r="M11" s="135"/>
      <c r="N11" s="128"/>
      <c r="O11" s="128"/>
      <c r="P11" s="136"/>
      <c r="Q11" s="132"/>
      <c r="R11" s="132"/>
      <c r="S11" s="132"/>
      <c r="T11" s="132"/>
      <c r="U11" s="132"/>
      <c r="V11" s="132"/>
      <c r="W11" s="132"/>
      <c r="X11" s="132"/>
    </row>
    <row r="12" spans="1:36" s="90" customFormat="1" x14ac:dyDescent="0.25">
      <c r="A12" s="89"/>
      <c r="B12" s="89"/>
      <c r="C12" s="89"/>
      <c r="E12" s="95"/>
      <c r="F12" s="95" t="s">
        <v>3</v>
      </c>
      <c r="G12" s="95"/>
      <c r="H12" s="95"/>
      <c r="I12" s="95"/>
      <c r="J12" s="133">
        <v>35</v>
      </c>
      <c r="K12" s="137"/>
      <c r="L12" s="137"/>
      <c r="M12" s="95"/>
      <c r="N12" s="91"/>
      <c r="O12" s="91"/>
      <c r="Q12" s="138" t="e">
        <f xml:space="preserve"> "For comparision, the median earnings in " &amp; Country &amp; " of an employee of this age is " &amp; Currency &amp; " " &amp; TEXT(B19,"#,###.-") &amp; " based on Eurostat data"</f>
        <v>#N/A</v>
      </c>
      <c r="R12" s="132"/>
      <c r="S12" s="132"/>
      <c r="T12" s="132"/>
      <c r="U12" s="132"/>
      <c r="V12" s="132"/>
      <c r="W12" s="132"/>
      <c r="X12" s="132"/>
    </row>
    <row r="13" spans="1:36" s="90" customFormat="1" x14ac:dyDescent="0.25">
      <c r="A13" s="89"/>
      <c r="B13" s="89"/>
      <c r="C13" s="89"/>
      <c r="E13" s="95"/>
      <c r="F13" s="95" t="s">
        <v>356</v>
      </c>
      <c r="G13" s="139"/>
      <c r="H13" s="139"/>
      <c r="I13" s="95"/>
      <c r="J13" s="191">
        <v>70</v>
      </c>
      <c r="K13" s="137"/>
      <c r="L13" s="137"/>
      <c r="M13" s="95"/>
      <c r="N13" s="91"/>
      <c r="O13" s="91"/>
      <c r="P13" s="132"/>
      <c r="R13" s="132"/>
      <c r="S13" s="132"/>
      <c r="T13" s="132"/>
      <c r="U13" s="132"/>
      <c r="V13" s="132"/>
      <c r="W13" s="132"/>
      <c r="X13" s="132"/>
    </row>
    <row r="14" spans="1:36" s="90" customFormat="1" x14ac:dyDescent="0.25">
      <c r="A14" s="89"/>
      <c r="B14" s="89"/>
      <c r="C14" s="89"/>
      <c r="E14" s="95"/>
      <c r="F14" s="95" t="s">
        <v>59</v>
      </c>
      <c r="G14" s="95"/>
      <c r="H14" s="95"/>
      <c r="I14" s="95"/>
      <c r="J14" s="133">
        <f>Pension_age-CurrentYearsToRetirement</f>
        <v>35</v>
      </c>
      <c r="K14" s="137"/>
      <c r="L14" s="137"/>
      <c r="M14" s="95"/>
      <c r="N14" s="91"/>
      <c r="O14" s="91"/>
      <c r="P14" s="132"/>
      <c r="Q14" s="140"/>
      <c r="R14" s="132"/>
      <c r="S14" s="132"/>
      <c r="T14" s="132"/>
      <c r="U14" s="132"/>
      <c r="V14" s="132"/>
      <c r="W14" s="132"/>
      <c r="X14" s="132"/>
    </row>
    <row r="15" spans="1:36" s="90" customFormat="1" x14ac:dyDescent="0.25">
      <c r="A15" s="89"/>
      <c r="B15" s="89"/>
      <c r="C15" s="89"/>
      <c r="E15" s="95"/>
      <c r="F15" s="95"/>
      <c r="G15" s="95"/>
      <c r="H15" s="95"/>
      <c r="I15" s="135"/>
      <c r="J15" s="135"/>
      <c r="K15" s="137"/>
      <c r="L15" s="137"/>
      <c r="M15" s="95"/>
      <c r="N15" s="91"/>
      <c r="O15" s="91"/>
      <c r="P15" s="136"/>
      <c r="Q15" s="132"/>
      <c r="R15" s="132"/>
      <c r="S15" s="132"/>
      <c r="T15" s="132"/>
      <c r="U15" s="132"/>
      <c r="V15" s="132"/>
      <c r="W15" s="132"/>
      <c r="X15" s="132"/>
    </row>
    <row r="16" spans="1:36" s="90" customFormat="1" x14ac:dyDescent="0.25">
      <c r="A16" s="89"/>
      <c r="B16" s="89"/>
      <c r="C16" s="89"/>
      <c r="E16" s="95"/>
      <c r="F16" s="95" t="s">
        <v>127</v>
      </c>
      <c r="G16" s="95"/>
      <c r="H16" s="95"/>
      <c r="I16" s="95"/>
      <c r="J16" s="367"/>
      <c r="K16" s="368"/>
      <c r="L16" s="368"/>
      <c r="M16" s="135"/>
      <c r="N16" s="128"/>
      <c r="O16" s="128"/>
      <c r="P16" s="132"/>
      <c r="R16" s="132"/>
      <c r="S16" s="132"/>
      <c r="T16" s="132"/>
      <c r="U16" s="132"/>
      <c r="V16" s="132"/>
      <c r="W16" s="132"/>
      <c r="X16" s="132"/>
    </row>
    <row r="17" spans="1:24" s="90" customFormat="1" x14ac:dyDescent="0.25">
      <c r="A17" s="89"/>
      <c r="B17" s="89"/>
      <c r="C17" s="89"/>
      <c r="E17" s="95"/>
      <c r="F17" s="95" t="s">
        <v>150</v>
      </c>
      <c r="G17" s="95"/>
      <c r="H17" s="95"/>
      <c r="I17" s="95"/>
      <c r="J17" s="369"/>
      <c r="K17" s="370"/>
      <c r="L17" s="370"/>
      <c r="M17" s="135"/>
      <c r="N17" s="128"/>
      <c r="O17" s="128"/>
      <c r="P17" s="132"/>
      <c r="Q17" s="132"/>
      <c r="R17" s="132"/>
      <c r="S17" s="132"/>
      <c r="T17" s="132"/>
      <c r="U17" s="132"/>
      <c r="V17" s="141"/>
      <c r="W17" s="132"/>
      <c r="X17" s="132"/>
    </row>
    <row r="18" spans="1:24" s="90" customFormat="1" x14ac:dyDescent="0.25">
      <c r="A18" s="89"/>
      <c r="B18" s="89"/>
      <c r="C18" s="89"/>
      <c r="E18" s="95"/>
      <c r="F18" s="95"/>
      <c r="G18" s="95"/>
      <c r="H18" s="95"/>
      <c r="I18" s="142"/>
      <c r="J18" s="142"/>
      <c r="K18" s="143"/>
      <c r="L18" s="143"/>
      <c r="M18" s="95"/>
      <c r="N18" s="144"/>
      <c r="O18" s="144"/>
      <c r="P18" s="136"/>
      <c r="Q18" s="132"/>
      <c r="R18" s="132"/>
      <c r="S18" s="132"/>
      <c r="T18" s="132"/>
      <c r="U18" s="132"/>
      <c r="V18" s="141"/>
      <c r="W18" s="132"/>
      <c r="X18" s="132"/>
    </row>
    <row r="19" spans="1:24" s="90" customFormat="1" x14ac:dyDescent="0.25">
      <c r="A19" s="89" t="s">
        <v>63</v>
      </c>
      <c r="B19" s="145" t="e">
        <f>INDEX(AverageWages,MATCH(Age,CareerAge,0),MATCH(CountryAbbrev,CareerCountries,0))</f>
        <v>#N/A</v>
      </c>
      <c r="C19" s="89"/>
      <c r="E19" s="95"/>
      <c r="F19" s="146" t="s">
        <v>355</v>
      </c>
      <c r="G19" s="95"/>
      <c r="H19" s="95"/>
      <c r="I19" s="95"/>
      <c r="J19" s="117">
        <v>35000</v>
      </c>
      <c r="K19" s="95"/>
      <c r="L19" s="95"/>
      <c r="M19" s="95"/>
      <c r="N19" s="144"/>
      <c r="O19" s="144"/>
      <c r="P19" s="132"/>
      <c r="Q19" s="141"/>
      <c r="R19" s="132"/>
      <c r="S19" s="132"/>
      <c r="T19" s="132"/>
      <c r="U19" s="132"/>
      <c r="V19" s="132"/>
      <c r="W19" s="132"/>
      <c r="X19" s="132"/>
    </row>
    <row r="20" spans="1:24" s="90" customFormat="1" x14ac:dyDescent="0.25">
      <c r="A20" s="89"/>
      <c r="B20" s="89"/>
      <c r="C20" s="89"/>
      <c r="E20" s="95"/>
      <c r="F20" s="95"/>
      <c r="G20" s="95"/>
      <c r="H20" s="95"/>
      <c r="I20" s="95"/>
      <c r="J20" s="95"/>
      <c r="K20" s="147"/>
      <c r="L20" s="95"/>
      <c r="M20" s="147"/>
      <c r="N20" s="144"/>
      <c r="O20" s="144"/>
      <c r="P20" s="132"/>
      <c r="Q20" s="141"/>
      <c r="R20" s="132"/>
      <c r="S20" s="132"/>
      <c r="T20" s="132"/>
      <c r="U20" s="132"/>
      <c r="V20" s="132"/>
      <c r="W20" s="132"/>
      <c r="X20" s="132"/>
    </row>
    <row r="21" spans="1:24" s="90" customFormat="1" x14ac:dyDescent="0.25">
      <c r="A21" s="89"/>
      <c r="B21" s="89"/>
      <c r="C21" s="89"/>
      <c r="E21" s="95"/>
      <c r="F21" s="95" t="s">
        <v>148</v>
      </c>
      <c r="G21" s="95"/>
      <c r="H21" s="95"/>
      <c r="I21" s="95"/>
      <c r="J21" s="192">
        <v>15000</v>
      </c>
      <c r="K21" s="95"/>
      <c r="L21" s="137"/>
      <c r="M21" s="95"/>
      <c r="N21" s="144"/>
      <c r="O21" s="144"/>
      <c r="P21" s="132"/>
      <c r="Q21" s="132"/>
      <c r="R21" s="132"/>
      <c r="S21" s="132"/>
      <c r="T21" s="132"/>
      <c r="U21" s="132"/>
      <c r="V21" s="132"/>
      <c r="W21" s="132"/>
      <c r="X21" s="132"/>
    </row>
    <row r="22" spans="1:24" s="90" customFormat="1" ht="15" customHeight="1" x14ac:dyDescent="0.25">
      <c r="A22" s="89"/>
      <c r="B22" s="89"/>
      <c r="C22" s="89"/>
      <c r="E22" s="95"/>
      <c r="F22" s="95"/>
      <c r="G22" s="95"/>
      <c r="H22" s="95"/>
      <c r="I22" s="95"/>
      <c r="J22" s="110"/>
      <c r="K22" s="110"/>
      <c r="L22" s="110"/>
      <c r="M22" s="95"/>
      <c r="N22" s="144"/>
      <c r="O22" s="144"/>
      <c r="P22" s="132"/>
      <c r="Q22" s="132"/>
      <c r="R22" s="132"/>
      <c r="S22" s="132"/>
      <c r="T22" s="132"/>
      <c r="U22" s="132"/>
      <c r="V22" s="132"/>
      <c r="W22" s="132"/>
      <c r="X22" s="132"/>
    </row>
    <row r="23" spans="1:24" s="90" customFormat="1" ht="30" x14ac:dyDescent="0.25">
      <c r="A23" s="89"/>
      <c r="B23" s="89"/>
      <c r="C23" s="89"/>
      <c r="E23" s="95"/>
      <c r="F23" s="123" t="s">
        <v>153</v>
      </c>
      <c r="G23" s="95"/>
      <c r="H23" s="95"/>
      <c r="I23" s="95"/>
      <c r="J23" s="110"/>
      <c r="K23" s="148"/>
      <c r="L23" s="195" t="s">
        <v>551</v>
      </c>
      <c r="M23" s="95"/>
      <c r="N23" s="144"/>
      <c r="O23" s="144"/>
      <c r="P23" s="132"/>
      <c r="Q23" s="132"/>
      <c r="R23" s="132"/>
      <c r="S23" s="132"/>
      <c r="T23" s="132"/>
      <c r="U23" s="132"/>
      <c r="V23" s="132"/>
      <c r="W23" s="132"/>
      <c r="X23" s="132"/>
    </row>
    <row r="24" spans="1:24" s="90" customFormat="1" x14ac:dyDescent="0.25">
      <c r="A24" s="89" t="s">
        <v>155</v>
      </c>
      <c r="B24" s="56" t="b">
        <v>0</v>
      </c>
      <c r="C24" s="89"/>
      <c r="E24" s="95"/>
      <c r="F24" s="95"/>
      <c r="G24" s="146" t="s">
        <v>151</v>
      </c>
      <c r="H24" s="146"/>
      <c r="I24" s="194"/>
      <c r="J24" s="56">
        <v>10000</v>
      </c>
      <c r="K24" s="149" t="s">
        <v>552</v>
      </c>
      <c r="L24" s="116" t="s">
        <v>55</v>
      </c>
      <c r="M24" s="95"/>
      <c r="N24" s="144"/>
      <c r="O24" s="144"/>
      <c r="P24" s="150"/>
      <c r="Q24" s="141"/>
      <c r="R24" s="132"/>
      <c r="S24" s="132"/>
      <c r="T24" s="132"/>
      <c r="U24" s="132"/>
      <c r="V24" s="141"/>
      <c r="W24" s="132"/>
      <c r="X24" s="132"/>
    </row>
    <row r="25" spans="1:24" s="90" customFormat="1" ht="15" customHeight="1" x14ac:dyDescent="0.25">
      <c r="A25" s="89" t="s">
        <v>156</v>
      </c>
      <c r="B25" s="56" t="b">
        <v>0</v>
      </c>
      <c r="C25" s="89"/>
      <c r="E25" s="95"/>
      <c r="F25" s="95"/>
      <c r="G25" s="146" t="s">
        <v>154</v>
      </c>
      <c r="H25" s="146"/>
      <c r="I25" s="194"/>
      <c r="J25" s="56">
        <v>100000</v>
      </c>
      <c r="K25" s="149" t="s">
        <v>552</v>
      </c>
      <c r="L25" s="116" t="s">
        <v>55</v>
      </c>
      <c r="M25" s="95"/>
      <c r="N25" s="144"/>
      <c r="O25" s="144"/>
      <c r="P25" s="132"/>
      <c r="Q25" s="141"/>
      <c r="R25" s="132"/>
      <c r="S25" s="132"/>
      <c r="T25" s="132"/>
      <c r="U25" s="132"/>
      <c r="V25" s="141"/>
      <c r="W25" s="132"/>
      <c r="X25" s="132"/>
    </row>
    <row r="26" spans="1:24" s="90" customFormat="1" ht="15" customHeight="1" x14ac:dyDescent="0.25">
      <c r="A26" s="89"/>
      <c r="B26" s="89"/>
      <c r="C26" s="89"/>
      <c r="E26" s="95"/>
      <c r="F26" s="95"/>
      <c r="G26" s="95"/>
      <c r="H26" s="95"/>
      <c r="I26" s="95"/>
      <c r="J26" s="95"/>
      <c r="K26" s="95"/>
      <c r="L26" s="110"/>
      <c r="M26" s="95"/>
      <c r="N26" s="144"/>
      <c r="O26" s="144"/>
      <c r="P26" s="141"/>
      <c r="Q26" s="151"/>
      <c r="R26" s="132"/>
      <c r="S26" s="132"/>
      <c r="T26" s="132"/>
      <c r="U26" s="132"/>
      <c r="V26" s="141"/>
      <c r="W26" s="132"/>
      <c r="X26" s="132"/>
    </row>
    <row r="27" spans="1:24" s="90" customFormat="1" ht="30" x14ac:dyDescent="0.25">
      <c r="A27" s="89"/>
      <c r="B27" s="89"/>
      <c r="C27" s="89"/>
      <c r="E27" s="95"/>
      <c r="F27" s="123" t="s">
        <v>556</v>
      </c>
      <c r="G27" s="95"/>
      <c r="H27" s="95"/>
      <c r="I27" s="95"/>
      <c r="J27" s="95"/>
      <c r="K27" s="95"/>
      <c r="L27" s="168" t="s">
        <v>578</v>
      </c>
      <c r="M27" s="95"/>
      <c r="N27" s="144"/>
      <c r="O27" s="144"/>
      <c r="P27" s="141"/>
      <c r="Q27" s="151"/>
      <c r="R27" s="132"/>
      <c r="S27" s="132"/>
      <c r="T27" s="132"/>
      <c r="U27" s="132"/>
      <c r="V27" s="141"/>
      <c r="W27" s="132"/>
      <c r="X27" s="132"/>
    </row>
    <row r="28" spans="1:24" s="90" customFormat="1" ht="15" customHeight="1" x14ac:dyDescent="0.25">
      <c r="A28" s="89" t="s">
        <v>573</v>
      </c>
      <c r="B28" s="89"/>
      <c r="C28" s="89" t="str">
        <f>ActiveMarketScenarioName</f>
        <v>Baseline</v>
      </c>
      <c r="E28" s="95"/>
      <c r="F28" s="95"/>
      <c r="G28" s="152" t="s">
        <v>553</v>
      </c>
      <c r="H28" s="95"/>
      <c r="I28" s="95"/>
      <c r="J28" s="153">
        <f t="array" aca="1" ref="J28" ca="1">MMULT(OFFSET(AssetWeightsBaseline,0,0,1,NumberOfAssets),1*(OFFSET(tblAssetMenuSpecs[[#Headers],[Asset category]],1,0,NumberOfAssets,1)="Equities"))*Initial_pension_wealth</f>
        <v>0</v>
      </c>
      <c r="K28" s="149" t="s">
        <v>552</v>
      </c>
      <c r="L28" s="192"/>
      <c r="M28" s="95"/>
      <c r="N28" s="144"/>
      <c r="O28" s="144"/>
      <c r="P28" s="141"/>
      <c r="Q28" s="151"/>
      <c r="R28" s="132"/>
      <c r="S28" s="132"/>
      <c r="T28" s="132"/>
      <c r="U28" s="132"/>
      <c r="V28" s="141"/>
      <c r="W28" s="132"/>
      <c r="X28" s="132"/>
    </row>
    <row r="29" spans="1:24" s="90" customFormat="1" ht="15" customHeight="1" x14ac:dyDescent="0.25">
      <c r="A29" s="89"/>
      <c r="B29" s="89"/>
      <c r="C29" s="89"/>
      <c r="E29" s="95"/>
      <c r="F29" s="95"/>
      <c r="G29" s="152" t="s">
        <v>554</v>
      </c>
      <c r="H29" s="95"/>
      <c r="I29" s="95"/>
      <c r="J29" s="153">
        <f t="array" aca="1" ref="J29" ca="1">MMULT(OFFSET(AssetWeightsBaseline,0,0,1,NumberOfAssets),1*(OFFSET(tblAssetMenuSpecs[[#Headers],[Asset category]],1,0,NumberOfAssets,1)="Fixed income"))*Initial_pension_wealth</f>
        <v>15000</v>
      </c>
      <c r="K29" s="149" t="s">
        <v>552</v>
      </c>
      <c r="L29" s="192"/>
      <c r="M29" s="95"/>
      <c r="N29" s="144"/>
      <c r="O29" s="144"/>
      <c r="P29" s="141"/>
      <c r="Q29" s="151"/>
      <c r="R29" s="132"/>
      <c r="S29" s="132"/>
      <c r="T29" s="132"/>
      <c r="U29" s="132"/>
      <c r="V29" s="141"/>
      <c r="W29" s="132"/>
      <c r="X29" s="132"/>
    </row>
    <row r="30" spans="1:24" s="90" customFormat="1" ht="15" customHeight="1" x14ac:dyDescent="0.25">
      <c r="A30" s="89"/>
      <c r="B30" s="89"/>
      <c r="C30" s="89"/>
      <c r="E30" s="95"/>
      <c r="F30" s="95"/>
      <c r="G30" s="152" t="s">
        <v>555</v>
      </c>
      <c r="H30" s="95"/>
      <c r="I30" s="95"/>
      <c r="J30" s="153">
        <f t="array" aca="1" ref="J30" ca="1">MMULT(OFFSET(AssetWeightsBaseline,0,0,1,NumberOfAssets),1*(OFFSET(tblAssetMenuSpecs[[#Headers],[Spread type]],1,0,NumberOfAssets,1)&lt;&gt;0))*Initial_pension_wealth</f>
        <v>0</v>
      </c>
      <c r="K30" s="149" t="s">
        <v>552</v>
      </c>
      <c r="L30" s="192"/>
      <c r="M30" s="95"/>
      <c r="N30" s="144"/>
      <c r="O30" s="144"/>
      <c r="P30" s="141"/>
      <c r="Q30" s="151"/>
      <c r="R30" s="132"/>
      <c r="S30" s="132"/>
      <c r="T30" s="132"/>
      <c r="U30" s="132"/>
      <c r="V30" s="141"/>
      <c r="W30" s="132"/>
      <c r="X30" s="132"/>
    </row>
    <row r="31" spans="1:24" s="90" customFormat="1" ht="15" customHeight="1" x14ac:dyDescent="0.25">
      <c r="A31" s="89"/>
      <c r="B31" s="89"/>
      <c r="C31" s="89"/>
      <c r="E31" s="95"/>
      <c r="F31" s="95"/>
      <c r="G31" s="152" t="s">
        <v>557</v>
      </c>
      <c r="H31" s="95"/>
      <c r="I31" s="95"/>
      <c r="J31" s="153">
        <f t="array" aca="1" ref="J31" ca="1">MMULT(OFFSET(AssetWeightsBaseline,0,0,1,NumberOfAssets),1*NOT(OFFSET(tblAssetMenuSpecs[[#Headers],[Inflation linked]],1,0,NumberOfAssets,1))*(OFFSET(tblAssetMenuSpecs[[#Headers],[Asset category]],1,0,NumberOfAssets,1)="Fixed income"))*Initial_pension_wealth</f>
        <v>15000</v>
      </c>
      <c r="K31" s="149" t="s">
        <v>552</v>
      </c>
      <c r="L31" s="192"/>
      <c r="M31" s="95"/>
      <c r="N31" s="144"/>
      <c r="O31" s="144"/>
      <c r="P31" s="141"/>
      <c r="Q31" s="151"/>
      <c r="R31" s="132"/>
      <c r="S31" s="132"/>
      <c r="T31" s="132"/>
      <c r="U31" s="132"/>
      <c r="V31" s="141"/>
      <c r="W31" s="132"/>
      <c r="X31" s="132"/>
    </row>
    <row r="32" spans="1:24" s="90" customFormat="1" ht="15" customHeight="1" x14ac:dyDescent="0.25">
      <c r="A32" s="89" t="s">
        <v>592</v>
      </c>
      <c r="B32" s="216">
        <f>IF(ActiveMarketScenarioName="Adverse",$L$32,0)</f>
        <v>0</v>
      </c>
      <c r="C32" s="89"/>
      <c r="E32" s="95"/>
      <c r="F32" s="95"/>
      <c r="G32" s="95"/>
      <c r="H32" s="95"/>
      <c r="I32" s="95"/>
      <c r="J32" s="95"/>
      <c r="K32" s="139" t="s">
        <v>123</v>
      </c>
      <c r="L32" s="153">
        <f>SUM(L28:L31)</f>
        <v>0</v>
      </c>
      <c r="M32" s="95"/>
      <c r="N32" s="144"/>
      <c r="O32" s="144"/>
      <c r="P32" s="141"/>
      <c r="Q32" s="151"/>
      <c r="R32" s="132"/>
      <c r="S32" s="132"/>
      <c r="T32" s="132"/>
      <c r="U32" s="132"/>
      <c r="V32" s="141"/>
      <c r="W32" s="132"/>
      <c r="X32" s="132"/>
    </row>
    <row r="33" spans="1:57" s="90" customFormat="1" ht="15" customHeight="1" x14ac:dyDescent="0.25">
      <c r="A33" s="89"/>
      <c r="B33" s="89"/>
      <c r="C33" s="89"/>
      <c r="E33" s="95"/>
      <c r="F33" s="95"/>
      <c r="G33" s="95"/>
      <c r="H33" s="95"/>
      <c r="I33" s="95"/>
      <c r="J33" s="95"/>
      <c r="K33" s="95"/>
      <c r="L33" s="110"/>
      <c r="M33" s="95"/>
      <c r="N33" s="144"/>
      <c r="O33" s="144"/>
      <c r="P33" s="141"/>
      <c r="Q33" s="151"/>
      <c r="R33" s="132"/>
      <c r="S33" s="132"/>
      <c r="T33" s="132"/>
      <c r="U33" s="132"/>
      <c r="V33" s="141"/>
      <c r="W33" s="132"/>
      <c r="X33" s="132"/>
    </row>
    <row r="34" spans="1:57" s="90" customFormat="1" ht="15" customHeight="1" thickBot="1" x14ac:dyDescent="0.3">
      <c r="A34" s="89"/>
      <c r="B34" s="89"/>
      <c r="C34" s="89"/>
      <c r="E34" s="91"/>
      <c r="F34" s="91"/>
      <c r="G34" s="91"/>
      <c r="H34" s="91"/>
      <c r="I34" s="91"/>
      <c r="J34" s="91"/>
      <c r="K34" s="91"/>
      <c r="L34" s="128"/>
      <c r="M34" s="91"/>
      <c r="N34" s="144"/>
      <c r="O34" s="144"/>
      <c r="P34" s="141"/>
      <c r="Q34" s="141"/>
      <c r="R34" s="132"/>
      <c r="S34" s="132"/>
      <c r="T34" s="132"/>
      <c r="U34" s="132"/>
      <c r="V34" s="141"/>
      <c r="W34" s="132"/>
      <c r="X34" s="132"/>
    </row>
    <row r="35" spans="1:57" s="90" customFormat="1" x14ac:dyDescent="0.25">
      <c r="A35" s="89"/>
      <c r="B35" s="89"/>
      <c r="C35" s="89"/>
      <c r="E35" s="154"/>
      <c r="F35" s="155"/>
      <c r="G35" s="155"/>
      <c r="H35" s="155"/>
      <c r="I35" s="155"/>
      <c r="J35" s="155"/>
      <c r="K35" s="155"/>
      <c r="L35" s="156"/>
      <c r="M35" s="157"/>
      <c r="N35" s="91"/>
      <c r="O35" s="91"/>
      <c r="P35" s="150"/>
      <c r="Q35" s="132"/>
      <c r="R35" s="132"/>
      <c r="S35" s="132"/>
      <c r="T35" s="132"/>
      <c r="U35" s="132"/>
      <c r="V35" s="132"/>
      <c r="W35" s="132"/>
      <c r="X35" s="132"/>
    </row>
    <row r="36" spans="1:57" s="90" customFormat="1" ht="15" customHeight="1" x14ac:dyDescent="0.35">
      <c r="A36" s="89"/>
      <c r="B36" s="89"/>
      <c r="C36" s="89"/>
      <c r="E36" s="158"/>
      <c r="F36" s="365" t="s">
        <v>172</v>
      </c>
      <c r="G36" s="365"/>
      <c r="H36" s="365"/>
      <c r="I36" s="365"/>
      <c r="J36" s="365"/>
      <c r="K36" s="365"/>
      <c r="L36" s="365"/>
      <c r="M36" s="159"/>
      <c r="N36" s="91"/>
      <c r="O36" s="91"/>
      <c r="P36" s="132"/>
      <c r="Q36" s="138"/>
      <c r="R36" s="132"/>
      <c r="S36" s="132"/>
      <c r="T36" s="132"/>
      <c r="U36" s="132"/>
      <c r="V36" s="132"/>
      <c r="W36" s="132"/>
      <c r="X36" s="132"/>
    </row>
    <row r="37" spans="1:57" s="90" customFormat="1" ht="15" customHeight="1" x14ac:dyDescent="0.25">
      <c r="A37" s="89"/>
      <c r="B37" s="89"/>
      <c r="C37" s="89"/>
      <c r="E37" s="160"/>
      <c r="F37" s="132"/>
      <c r="G37" s="132"/>
      <c r="H37" s="132"/>
      <c r="I37" s="132"/>
      <c r="J37" s="132"/>
      <c r="K37" s="141"/>
      <c r="L37" s="141"/>
      <c r="M37" s="159"/>
      <c r="N37" s="91"/>
      <c r="O37" s="91"/>
      <c r="P37" s="132"/>
      <c r="Q37" s="132"/>
      <c r="R37" s="132"/>
      <c r="S37" s="132"/>
      <c r="T37" s="132"/>
      <c r="U37" s="132"/>
      <c r="V37" s="132"/>
      <c r="W37" s="132"/>
      <c r="X37" s="132"/>
    </row>
    <row r="38" spans="1:57" s="90" customFormat="1" ht="15" customHeight="1" x14ac:dyDescent="0.25">
      <c r="A38" s="115" t="s">
        <v>170</v>
      </c>
      <c r="B38" s="89" t="b">
        <f ca="1">AND($A$46:$B$46)</f>
        <v>1</v>
      </c>
      <c r="C38" s="89"/>
      <c r="E38" s="160"/>
      <c r="F38" s="132">
        <f ca="1">1*INT(B38)</f>
        <v>1</v>
      </c>
      <c r="G38" s="151" t="s">
        <v>168</v>
      </c>
      <c r="H38" s="151"/>
      <c r="I38" s="132"/>
      <c r="J38" s="132"/>
      <c r="K38" s="141"/>
      <c r="L38" s="141"/>
      <c r="M38" s="159"/>
      <c r="N38" s="91"/>
      <c r="O38" s="91"/>
      <c r="P38" s="132"/>
      <c r="Q38" s="132"/>
      <c r="R38" s="132"/>
      <c r="S38" s="132"/>
      <c r="T38" s="132"/>
      <c r="U38" s="132"/>
      <c r="V38" s="132"/>
      <c r="W38" s="132"/>
      <c r="X38" s="132"/>
    </row>
    <row r="39" spans="1:57" ht="15" customHeight="1" x14ac:dyDescent="0.25">
      <c r="A39" s="115" t="s">
        <v>171</v>
      </c>
      <c r="B39" s="119" t="b">
        <f>OR(NOT(IsFloorPensionBase),NOT(IsCapPensionBase),LevelCapPensionBase&gt;=LevelFloorPensionBase)</f>
        <v>1</v>
      </c>
      <c r="E39" s="158"/>
      <c r="F39" s="132">
        <f>1*INT(B39)</f>
        <v>1</v>
      </c>
      <c r="G39" s="132" t="s">
        <v>169</v>
      </c>
      <c r="H39" s="132"/>
      <c r="I39" s="132"/>
      <c r="J39" s="132"/>
      <c r="K39" s="141"/>
      <c r="L39" s="141"/>
      <c r="M39" s="159"/>
      <c r="P39" s="141"/>
      <c r="Q39" s="366"/>
      <c r="R39" s="366"/>
      <c r="S39" s="366"/>
      <c r="T39" s="366"/>
      <c r="U39" s="366"/>
      <c r="V39" s="141"/>
      <c r="W39" s="141"/>
      <c r="X39" s="141"/>
    </row>
    <row r="40" spans="1:57" ht="15" customHeight="1" thickBot="1" x14ac:dyDescent="0.3">
      <c r="E40" s="161"/>
      <c r="F40" s="162"/>
      <c r="G40" s="162"/>
      <c r="H40" s="162"/>
      <c r="I40" s="162"/>
      <c r="J40" s="162"/>
      <c r="K40" s="162"/>
      <c r="L40" s="162"/>
      <c r="M40" s="163"/>
      <c r="P40" s="141"/>
      <c r="Q40" s="366"/>
      <c r="R40" s="366"/>
      <c r="S40" s="366"/>
      <c r="T40" s="366"/>
      <c r="U40" s="366"/>
      <c r="V40" s="141"/>
      <c r="W40" s="141"/>
      <c r="X40" s="141"/>
    </row>
    <row r="41" spans="1:57" ht="15" customHeight="1" x14ac:dyDescent="0.25">
      <c r="A41" s="115" t="s">
        <v>173</v>
      </c>
      <c r="B41" s="119" t="b">
        <f ca="1">AND(B38:B39)</f>
        <v>1</v>
      </c>
      <c r="E41" s="164"/>
      <c r="F41" s="141"/>
      <c r="G41" s="141"/>
      <c r="H41" s="141"/>
      <c r="I41" s="141"/>
      <c r="J41" s="141"/>
      <c r="K41" s="141"/>
      <c r="L41" s="141"/>
      <c r="M41" s="141"/>
      <c r="N41" s="165"/>
      <c r="O41" s="165"/>
      <c r="P41" s="165"/>
      <c r="Q41" s="165"/>
      <c r="R41" s="165"/>
    </row>
    <row r="42" spans="1:57" ht="15" customHeight="1" x14ac:dyDescent="0.25">
      <c r="A42" s="115"/>
      <c r="B42" s="119"/>
      <c r="E42" s="164"/>
      <c r="F42" s="141"/>
      <c r="G42" s="141"/>
      <c r="H42" s="141"/>
      <c r="I42" s="141"/>
      <c r="J42" s="141"/>
      <c r="K42" s="141"/>
      <c r="L42" s="141"/>
      <c r="M42" s="141"/>
      <c r="N42" s="165"/>
      <c r="O42" s="165"/>
      <c r="P42" s="165"/>
      <c r="Q42" s="165"/>
      <c r="R42" s="165"/>
    </row>
    <row r="43" spans="1:57" ht="15" customHeight="1" x14ac:dyDescent="0.25">
      <c r="E43" s="166"/>
      <c r="K43" s="91"/>
      <c r="Q43" s="167" t="s">
        <v>548</v>
      </c>
      <c r="R43" s="168"/>
      <c r="S43" s="168"/>
      <c r="T43" s="168"/>
      <c r="U43" s="168"/>
      <c r="V43" s="168"/>
      <c r="W43" s="168"/>
      <c r="X43" s="168"/>
      <c r="Y43" s="168"/>
      <c r="Z43" s="168"/>
      <c r="AA43" s="168"/>
      <c r="AB43" s="168"/>
      <c r="AC43" s="168"/>
      <c r="AD43" s="168"/>
      <c r="AE43" s="168"/>
      <c r="AF43" s="168"/>
      <c r="AG43" s="168"/>
      <c r="AH43" s="168"/>
      <c r="AI43" s="168"/>
      <c r="AJ43" s="168"/>
      <c r="AL43" s="167" t="s">
        <v>547</v>
      </c>
      <c r="AM43" s="168"/>
      <c r="AN43" s="168"/>
      <c r="AO43" s="168"/>
      <c r="AP43" s="168"/>
      <c r="AQ43" s="168"/>
      <c r="AR43" s="168"/>
      <c r="AS43" s="168"/>
      <c r="AT43" s="168"/>
      <c r="AU43" s="168"/>
      <c r="AV43" s="168"/>
      <c r="AW43" s="168"/>
      <c r="AX43" s="168"/>
      <c r="AY43" s="168"/>
      <c r="AZ43" s="168"/>
      <c r="BA43" s="168"/>
      <c r="BB43" s="168"/>
      <c r="BC43" s="168"/>
      <c r="BD43" s="168"/>
      <c r="BE43" s="168"/>
    </row>
    <row r="44" spans="1:57" s="90" customFormat="1" x14ac:dyDescent="0.25">
      <c r="E44" s="95"/>
      <c r="F44" s="95"/>
      <c r="G44" s="95"/>
      <c r="H44" s="95"/>
      <c r="J44" s="364"/>
      <c r="K44" s="169"/>
      <c r="L44" s="363" t="s">
        <v>357</v>
      </c>
      <c r="M44" s="363"/>
      <c r="N44" s="91"/>
      <c r="O44" s="91"/>
      <c r="Q44" s="95" t="s">
        <v>147</v>
      </c>
      <c r="R44" s="95"/>
      <c r="S44" s="95"/>
      <c r="T44" s="95"/>
      <c r="U44" s="95"/>
      <c r="V44" s="95"/>
      <c r="W44" s="95"/>
      <c r="X44" s="95"/>
      <c r="Y44" s="95"/>
      <c r="Z44" s="95"/>
      <c r="AA44" s="95"/>
      <c r="AB44" s="95"/>
      <c r="AC44" s="95"/>
      <c r="AD44" s="95"/>
      <c r="AE44" s="95"/>
      <c r="AF44" s="95"/>
      <c r="AG44" s="95"/>
      <c r="AH44" s="95"/>
      <c r="AI44" s="95"/>
      <c r="AJ44" s="95"/>
      <c r="AL44" s="95" t="s">
        <v>147</v>
      </c>
      <c r="AM44" s="95"/>
      <c r="AN44" s="95"/>
      <c r="AO44" s="95"/>
      <c r="AP44" s="95"/>
      <c r="AQ44" s="95"/>
      <c r="AR44" s="95"/>
      <c r="AS44" s="95"/>
      <c r="AT44" s="95"/>
      <c r="AU44" s="95"/>
      <c r="AV44" s="95"/>
      <c r="AW44" s="95"/>
      <c r="AX44" s="95"/>
      <c r="AY44" s="95"/>
      <c r="AZ44" s="95"/>
      <c r="BA44" s="95"/>
      <c r="BB44" s="95"/>
      <c r="BC44" s="95"/>
      <c r="BD44" s="95"/>
      <c r="BE44" s="95"/>
    </row>
    <row r="45" spans="1:57" s="90" customFormat="1" ht="15" customHeight="1" x14ac:dyDescent="0.25">
      <c r="A45" s="89" t="s">
        <v>549</v>
      </c>
      <c r="B45" s="89" t="s">
        <v>550</v>
      </c>
      <c r="C45" s="89"/>
      <c r="E45" s="95"/>
      <c r="F45" s="95"/>
      <c r="G45" s="95"/>
      <c r="H45" s="95"/>
      <c r="J45" s="364"/>
      <c r="K45" s="169"/>
      <c r="L45" s="95"/>
      <c r="M45" s="95"/>
      <c r="N45" s="91"/>
      <c r="O45" s="91"/>
      <c r="Q45" s="196">
        <v>1</v>
      </c>
      <c r="R45" s="196">
        <v>2</v>
      </c>
      <c r="S45" s="196">
        <v>3</v>
      </c>
      <c r="T45" s="196">
        <v>4</v>
      </c>
      <c r="U45" s="196">
        <v>5</v>
      </c>
      <c r="V45" s="196">
        <v>6</v>
      </c>
      <c r="W45" s="196">
        <v>7</v>
      </c>
      <c r="X45" s="196">
        <v>8</v>
      </c>
      <c r="Y45" s="196">
        <v>9</v>
      </c>
      <c r="Z45" s="196">
        <v>10</v>
      </c>
      <c r="AA45" s="196">
        <v>11</v>
      </c>
      <c r="AB45" s="196">
        <v>12</v>
      </c>
      <c r="AC45" s="196">
        <v>13</v>
      </c>
      <c r="AD45" s="196">
        <v>14</v>
      </c>
      <c r="AE45" s="196">
        <v>15</v>
      </c>
      <c r="AF45" s="196">
        <v>16</v>
      </c>
      <c r="AG45" s="196">
        <v>17</v>
      </c>
      <c r="AH45" s="196">
        <v>18</v>
      </c>
      <c r="AI45" s="196">
        <v>19</v>
      </c>
      <c r="AJ45" s="196">
        <v>20</v>
      </c>
      <c r="AK45" s="197"/>
      <c r="AL45" s="196">
        <v>1</v>
      </c>
      <c r="AM45" s="196">
        <v>2</v>
      </c>
      <c r="AN45" s="196">
        <v>3</v>
      </c>
      <c r="AO45" s="196">
        <v>4</v>
      </c>
      <c r="AP45" s="196">
        <v>5</v>
      </c>
      <c r="AQ45" s="196">
        <v>6</v>
      </c>
      <c r="AR45" s="196">
        <v>7</v>
      </c>
      <c r="AS45" s="196">
        <v>8</v>
      </c>
      <c r="AT45" s="196">
        <v>9</v>
      </c>
      <c r="AU45" s="196">
        <v>10</v>
      </c>
      <c r="AV45" s="196">
        <v>11</v>
      </c>
      <c r="AW45" s="196">
        <v>12</v>
      </c>
      <c r="AX45" s="196">
        <v>13</v>
      </c>
      <c r="AY45" s="196">
        <v>14</v>
      </c>
      <c r="AZ45" s="196">
        <v>15</v>
      </c>
      <c r="BA45" s="196">
        <v>16</v>
      </c>
      <c r="BB45" s="196">
        <v>17</v>
      </c>
      <c r="BC45" s="196">
        <v>18</v>
      </c>
      <c r="BD45" s="196">
        <v>19</v>
      </c>
      <c r="BE45" s="196">
        <v>20</v>
      </c>
    </row>
    <row r="46" spans="1:57" s="172" customFormat="1" ht="30" x14ac:dyDescent="0.25">
      <c r="A46" s="171" t="b">
        <f ca="1">AND(OFFSET(A47,0,0,CurrentYearsToRetirement+1,1))</f>
        <v>1</v>
      </c>
      <c r="B46" s="171" t="b">
        <f ca="1">AND(OFFSET(B47,0,0,CurrentYearsToRetirement+1,1))</f>
        <v>1</v>
      </c>
      <c r="C46" s="108"/>
      <c r="E46" s="125" t="s">
        <v>0</v>
      </c>
      <c r="F46" s="173" t="s">
        <v>59</v>
      </c>
      <c r="G46" s="173" t="s">
        <v>3</v>
      </c>
      <c r="H46" s="173" t="s">
        <v>388</v>
      </c>
      <c r="J46" s="173" t="s">
        <v>78</v>
      </c>
      <c r="K46" s="174"/>
      <c r="L46" s="175" t="s">
        <v>149</v>
      </c>
      <c r="M46" s="175" t="s">
        <v>152</v>
      </c>
      <c r="N46" s="174"/>
      <c r="O46" s="174"/>
      <c r="Q46" s="176" t="str">
        <f>IF(Q45&lt;=NumberOfAssets,INDEX(tblAssetMenuSpecs[Asset name],Q45),"")</f>
        <v>Cash</v>
      </c>
      <c r="R46" s="176" t="str">
        <f>IF(R45&lt;=NumberOfAssets,INDEX(tblAssetMenuSpecs[Asset name],R45),"")</f>
        <v/>
      </c>
      <c r="S46" s="176" t="str">
        <f>IF(S45&lt;=NumberOfAssets,INDEX(tblAssetMenuSpecs[Asset name],S45),"")</f>
        <v/>
      </c>
      <c r="T46" s="176" t="str">
        <f>IF(T45&lt;=NumberOfAssets,INDEX(tblAssetMenuSpecs[Asset name],T45),"")</f>
        <v/>
      </c>
      <c r="U46" s="176" t="str">
        <f>IF(U45&lt;=NumberOfAssets,INDEX(tblAssetMenuSpecs[Asset name],U45),"")</f>
        <v/>
      </c>
      <c r="V46" s="176" t="str">
        <f>IF(V45&lt;=NumberOfAssets,INDEX(tblAssetMenuSpecs[Asset name],V45),"")</f>
        <v/>
      </c>
      <c r="W46" s="176" t="str">
        <f>IF(W45&lt;=NumberOfAssets,INDEX(tblAssetMenuSpecs[Asset name],W45),"")</f>
        <v/>
      </c>
      <c r="X46" s="176" t="str">
        <f>IF(X45&lt;=NumberOfAssets,INDEX(tblAssetMenuSpecs[Asset name],X45),"")</f>
        <v/>
      </c>
      <c r="Y46" s="176" t="str">
        <f>IF(Y45&lt;=NumberOfAssets,INDEX(tblAssetMenuSpecs[Asset name],Y45),"")</f>
        <v/>
      </c>
      <c r="Z46" s="176" t="str">
        <f>IF(Z45&lt;=NumberOfAssets,INDEX(tblAssetMenuSpecs[Asset name],Z45),"")</f>
        <v/>
      </c>
      <c r="AA46" s="176" t="str">
        <f>IF(AA45&lt;=NumberOfAssets,INDEX(tblAssetMenuSpecs[Asset name],AA45),"")</f>
        <v/>
      </c>
      <c r="AB46" s="176" t="str">
        <f>IF(AB45&lt;=NumberOfAssets,INDEX(tblAssetMenuSpecs[Asset name],AB45),"")</f>
        <v/>
      </c>
      <c r="AC46" s="176" t="str">
        <f>IF(AC45&lt;=NumberOfAssets,INDEX(tblAssetMenuSpecs[Asset name],AC45),"")</f>
        <v/>
      </c>
      <c r="AD46" s="176" t="str">
        <f>IF(AD45&lt;=NumberOfAssets,INDEX(tblAssetMenuSpecs[Asset name],AD45),"")</f>
        <v/>
      </c>
      <c r="AE46" s="176" t="str">
        <f>IF(AE45&lt;=NumberOfAssets,INDEX(tblAssetMenuSpecs[Asset name],AE45),"")</f>
        <v/>
      </c>
      <c r="AF46" s="176" t="str">
        <f>IF(AF45&lt;=NumberOfAssets,INDEX(tblAssetMenuSpecs[Asset name],AF45),"")</f>
        <v/>
      </c>
      <c r="AG46" s="176" t="str">
        <f>IF(AG45&lt;=NumberOfAssets,INDEX(tblAssetMenuSpecs[Asset name],AG45),"")</f>
        <v/>
      </c>
      <c r="AH46" s="176" t="str">
        <f>IF(AH45&lt;=NumberOfAssets,INDEX(tblAssetMenuSpecs[Asset name],AH45),"")</f>
        <v/>
      </c>
      <c r="AI46" s="176" t="str">
        <f>IF(AI45&lt;=NumberOfAssets,INDEX(tblAssetMenuSpecs[Asset name],AI45),"")</f>
        <v/>
      </c>
      <c r="AJ46" s="176" t="str">
        <f>IF(AJ45&lt;=NumberOfAssets,INDEX(tblAssetMenuSpecs[Asset name],AJ45),"")</f>
        <v/>
      </c>
      <c r="AL46" s="176" t="str">
        <f>IF(AL45&lt;=NumberOfAssets,INDEX(tblAssetMenuSpecs[Asset name],AL45),"")</f>
        <v>Cash</v>
      </c>
      <c r="AM46" s="176" t="str">
        <f>IF(AM45&lt;=NumberOfAssets,INDEX(tblAssetMenuSpecs[Asset name],AM45),"")</f>
        <v/>
      </c>
      <c r="AN46" s="176" t="str">
        <f>IF(AN45&lt;=NumberOfAssets,INDEX(tblAssetMenuSpecs[Asset name],AN45),"")</f>
        <v/>
      </c>
      <c r="AO46" s="176" t="str">
        <f>IF(AO45&lt;=NumberOfAssets,INDEX(tblAssetMenuSpecs[Asset name],AO45),"")</f>
        <v/>
      </c>
      <c r="AP46" s="176" t="str">
        <f>IF(AP45&lt;=NumberOfAssets,INDEX(tblAssetMenuSpecs[Asset name],AP45),"")</f>
        <v/>
      </c>
      <c r="AQ46" s="176" t="str">
        <f>IF(AQ45&lt;=NumberOfAssets,INDEX(tblAssetMenuSpecs[Asset name],AQ45),"")</f>
        <v/>
      </c>
      <c r="AR46" s="176" t="str">
        <f>IF(AR45&lt;=NumberOfAssets,INDEX(tblAssetMenuSpecs[Asset name],AR45),"")</f>
        <v/>
      </c>
      <c r="AS46" s="176" t="str">
        <f>IF(AS45&lt;=NumberOfAssets,INDEX(tblAssetMenuSpecs[Asset name],AS45),"")</f>
        <v/>
      </c>
      <c r="AT46" s="176" t="str">
        <f>IF(AT45&lt;=NumberOfAssets,INDEX(tblAssetMenuSpecs[Asset name],AT45),"")</f>
        <v/>
      </c>
      <c r="AU46" s="176" t="str">
        <f>IF(AU45&lt;=NumberOfAssets,INDEX(tblAssetMenuSpecs[Asset name],AU45),"")</f>
        <v/>
      </c>
      <c r="AV46" s="176" t="str">
        <f>IF(AV45&lt;=NumberOfAssets,INDEX(tblAssetMenuSpecs[Asset name],AV45),"")</f>
        <v/>
      </c>
      <c r="AW46" s="176" t="str">
        <f>IF(AW45&lt;=NumberOfAssets,INDEX(tblAssetMenuSpecs[Asset name],AW45),"")</f>
        <v/>
      </c>
      <c r="AX46" s="176" t="str">
        <f>IF(AX45&lt;=NumberOfAssets,INDEX(tblAssetMenuSpecs[Asset name],AX45),"")</f>
        <v/>
      </c>
      <c r="AY46" s="176" t="str">
        <f>IF(AY45&lt;=NumberOfAssets,INDEX(tblAssetMenuSpecs[Asset name],AY45),"")</f>
        <v/>
      </c>
      <c r="AZ46" s="176" t="str">
        <f>IF(AZ45&lt;=NumberOfAssets,INDEX(tblAssetMenuSpecs[Asset name],AZ45),"")</f>
        <v/>
      </c>
      <c r="BA46" s="176" t="str">
        <f>IF(BA45&lt;=NumberOfAssets,INDEX(tblAssetMenuSpecs[Asset name],BA45),"")</f>
        <v/>
      </c>
      <c r="BB46" s="176" t="str">
        <f>IF(BB45&lt;=NumberOfAssets,INDEX(tblAssetMenuSpecs[Asset name],BB45),"")</f>
        <v/>
      </c>
      <c r="BC46" s="176" t="str">
        <f>IF(BC45&lt;=NumberOfAssets,INDEX(tblAssetMenuSpecs[Asset name],BC45),"")</f>
        <v/>
      </c>
      <c r="BD46" s="176" t="str">
        <f>IF(BD45&lt;=NumberOfAssets,INDEX(tblAssetMenuSpecs[Asset name],BD45),"")</f>
        <v/>
      </c>
      <c r="BE46" s="176" t="str">
        <f>IF(BE45&lt;=NumberOfAssets,INDEX(tblAssetMenuSpecs[Asset name],BE45),"")</f>
        <v/>
      </c>
    </row>
    <row r="47" spans="1:57" s="90" customFormat="1" ht="15" customHeight="1" x14ac:dyDescent="0.25">
      <c r="A47" s="177" t="b">
        <f t="array" ref="A47:A147">MMULT(AssetWeightsBaseline,TRANSPOSE(1*($Q$45:$AJ$45&lt;=NumberOfAssets)))=1</f>
        <v>1</v>
      </c>
      <c r="B47" s="178" t="b">
        <f t="array" ref="B47:B147">MMULT(AssetWeightsAdverse,TRANSPOSE(1*($Q$45:$AJ$45&lt;=NumberOfAssets)))=1</f>
        <v>1</v>
      </c>
      <c r="C47" s="179" t="e">
        <f t="shared" ref="C47:C78" si="0">INDEX(CareerWageGrowthData,MATCH(MIN(F47, MAX(CareerAge)),CareerAge,0),MATCH(CountryAbbrev,CareerCountries,0))</f>
        <v>#N/A</v>
      </c>
      <c r="E47" s="180">
        <v>2018</v>
      </c>
      <c r="F47" s="100">
        <f>$J$14</f>
        <v>35</v>
      </c>
      <c r="G47" s="181">
        <f t="shared" ref="G47:G78" si="1">Pension_age-F47</f>
        <v>35</v>
      </c>
      <c r="H47" s="181">
        <f>Wage</f>
        <v>35000</v>
      </c>
      <c r="J47" s="193">
        <v>0.1</v>
      </c>
      <c r="K47" s="101"/>
      <c r="L47" s="183" t="e">
        <f>IF($M47="",$C47,$M47)</f>
        <v>#N/A</v>
      </c>
      <c r="M47" s="88"/>
      <c r="N47" s="91"/>
      <c r="O47" s="91"/>
      <c r="P47" s="90">
        <v>0</v>
      </c>
      <c r="Q47" s="87">
        <v>1</v>
      </c>
      <c r="R47" s="87">
        <v>0.1419</v>
      </c>
      <c r="S47" s="87">
        <v>0.12468000000000001</v>
      </c>
      <c r="T47" s="87">
        <v>0.19632000000000002</v>
      </c>
      <c r="U47" s="87">
        <v>5.5880000000000006E-2</v>
      </c>
      <c r="V47" s="193">
        <v>0</v>
      </c>
      <c r="W47" s="193">
        <v>0</v>
      </c>
      <c r="X47" s="193">
        <v>0</v>
      </c>
      <c r="Y47" s="193">
        <v>0</v>
      </c>
      <c r="Z47" s="193">
        <v>0</v>
      </c>
      <c r="AA47" s="193">
        <v>0</v>
      </c>
      <c r="AB47" s="193">
        <v>0</v>
      </c>
      <c r="AC47" s="193">
        <v>0</v>
      </c>
      <c r="AD47" s="193">
        <v>0</v>
      </c>
      <c r="AE47" s="193">
        <v>0</v>
      </c>
      <c r="AF47" s="193">
        <v>0</v>
      </c>
      <c r="AG47" s="193">
        <v>0</v>
      </c>
      <c r="AH47" s="193">
        <v>0</v>
      </c>
      <c r="AI47" s="193">
        <v>0</v>
      </c>
      <c r="AJ47" s="193">
        <v>0</v>
      </c>
      <c r="AL47" s="186">
        <f>Q47</f>
        <v>1</v>
      </c>
      <c r="AM47" s="186">
        <f t="shared" ref="AM47:AM110" si="2">R47</f>
        <v>0.1419</v>
      </c>
      <c r="AN47" s="186">
        <f t="shared" ref="AN47:AN110" si="3">S47</f>
        <v>0.12468000000000001</v>
      </c>
      <c r="AO47" s="186">
        <f t="shared" ref="AO47:AO110" si="4">T47</f>
        <v>0.19632000000000002</v>
      </c>
      <c r="AP47" s="186">
        <f t="shared" ref="AP47:AP110" si="5">U47</f>
        <v>5.5880000000000006E-2</v>
      </c>
      <c r="AQ47" s="186">
        <f t="shared" ref="AQ47:AQ110" si="6">V47</f>
        <v>0</v>
      </c>
      <c r="AR47" s="186">
        <f t="shared" ref="AR47:AR110" si="7">W47</f>
        <v>0</v>
      </c>
      <c r="AS47" s="186">
        <f t="shared" ref="AS47:AS110" si="8">X47</f>
        <v>0</v>
      </c>
      <c r="AT47" s="186">
        <f t="shared" ref="AT47:AT110" si="9">Y47</f>
        <v>0</v>
      </c>
      <c r="AU47" s="186">
        <f t="shared" ref="AU47:AU110" si="10">Z47</f>
        <v>0</v>
      </c>
      <c r="AV47" s="186">
        <f t="shared" ref="AV47:AV110" si="11">AA47</f>
        <v>0</v>
      </c>
      <c r="AW47" s="186">
        <f t="shared" ref="AW47:AW110" si="12">AB47</f>
        <v>0</v>
      </c>
      <c r="AX47" s="186">
        <f t="shared" ref="AX47:AX110" si="13">AC47</f>
        <v>0</v>
      </c>
      <c r="AY47" s="186">
        <f t="shared" ref="AY47:AY110" si="14">AD47</f>
        <v>0</v>
      </c>
      <c r="AZ47" s="186">
        <f t="shared" ref="AZ47:AZ110" si="15">AE47</f>
        <v>0</v>
      </c>
      <c r="BA47" s="186">
        <f t="shared" ref="BA47:BA110" si="16">AF47</f>
        <v>0</v>
      </c>
      <c r="BB47" s="186">
        <f t="shared" ref="BB47:BB110" si="17">AG47</f>
        <v>0</v>
      </c>
      <c r="BC47" s="186">
        <f t="shared" ref="BC47:BC110" si="18">AH47</f>
        <v>0</v>
      </c>
      <c r="BD47" s="186">
        <f t="shared" ref="BD47:BD110" si="19">AI47</f>
        <v>0</v>
      </c>
      <c r="BE47" s="186">
        <f t="shared" ref="BE47:BE110" si="20">AJ47</f>
        <v>0</v>
      </c>
    </row>
    <row r="48" spans="1:57" s="90" customFormat="1" ht="15" customHeight="1" x14ac:dyDescent="0.25">
      <c r="A48" s="187" t="b">
        <v>1</v>
      </c>
      <c r="B48" s="188" t="b">
        <v>1</v>
      </c>
      <c r="C48" s="179" t="e">
        <f t="shared" si="0"/>
        <v>#N/A</v>
      </c>
      <c r="E48" s="180">
        <v>2019</v>
      </c>
      <c r="F48" s="100">
        <f>F47+1</f>
        <v>36</v>
      </c>
      <c r="G48" s="181">
        <f t="shared" si="1"/>
        <v>34</v>
      </c>
      <c r="H48" s="181" t="e">
        <f t="shared" ref="H48:H79" si="21">H47*(1+L48)*(1+Projection_real_wage_growth)</f>
        <v>#N/A</v>
      </c>
      <c r="J48" s="193">
        <v>0.1</v>
      </c>
      <c r="K48" s="101"/>
      <c r="L48" s="183" t="e">
        <f t="shared" ref="L48:L111" si="22">IF($M48="",$C48,$M48)</f>
        <v>#N/A</v>
      </c>
      <c r="M48" s="88"/>
      <c r="N48" s="91"/>
      <c r="O48" s="91"/>
      <c r="P48" s="90">
        <v>0</v>
      </c>
      <c r="Q48" s="87">
        <v>1</v>
      </c>
      <c r="R48" s="87">
        <v>0.1419</v>
      </c>
      <c r="S48" s="87">
        <v>0.12468000000000001</v>
      </c>
      <c r="T48" s="87">
        <v>0.19632000000000002</v>
      </c>
      <c r="U48" s="87">
        <v>5.5880000000000006E-2</v>
      </c>
      <c r="V48" s="193">
        <v>0</v>
      </c>
      <c r="W48" s="193">
        <v>0</v>
      </c>
      <c r="X48" s="193">
        <v>0</v>
      </c>
      <c r="Y48" s="193">
        <v>0</v>
      </c>
      <c r="Z48" s="193">
        <v>0</v>
      </c>
      <c r="AA48" s="193">
        <v>0</v>
      </c>
      <c r="AB48" s="193">
        <v>0</v>
      </c>
      <c r="AC48" s="193">
        <v>0</v>
      </c>
      <c r="AD48" s="193">
        <v>0</v>
      </c>
      <c r="AE48" s="193">
        <v>0</v>
      </c>
      <c r="AF48" s="193">
        <v>0</v>
      </c>
      <c r="AG48" s="193">
        <v>0</v>
      </c>
      <c r="AH48" s="193">
        <v>0</v>
      </c>
      <c r="AI48" s="193">
        <v>0</v>
      </c>
      <c r="AJ48" s="193">
        <v>0</v>
      </c>
      <c r="AL48" s="87">
        <f>Q48</f>
        <v>1</v>
      </c>
      <c r="AM48" s="87">
        <f t="shared" si="2"/>
        <v>0.1419</v>
      </c>
      <c r="AN48" s="87">
        <f t="shared" si="3"/>
        <v>0.12468000000000001</v>
      </c>
      <c r="AO48" s="87">
        <f t="shared" si="4"/>
        <v>0.19632000000000002</v>
      </c>
      <c r="AP48" s="87">
        <f t="shared" si="5"/>
        <v>5.5880000000000006E-2</v>
      </c>
      <c r="AQ48" s="87">
        <f t="shared" si="6"/>
        <v>0</v>
      </c>
      <c r="AR48" s="87">
        <f t="shared" si="7"/>
        <v>0</v>
      </c>
      <c r="AS48" s="87">
        <f t="shared" si="8"/>
        <v>0</v>
      </c>
      <c r="AT48" s="87">
        <f t="shared" si="9"/>
        <v>0</v>
      </c>
      <c r="AU48" s="87">
        <f t="shared" si="10"/>
        <v>0</v>
      </c>
      <c r="AV48" s="87">
        <f t="shared" si="11"/>
        <v>0</v>
      </c>
      <c r="AW48" s="87">
        <f t="shared" si="12"/>
        <v>0</v>
      </c>
      <c r="AX48" s="87">
        <f t="shared" si="13"/>
        <v>0</v>
      </c>
      <c r="AY48" s="87">
        <f t="shared" si="14"/>
        <v>0</v>
      </c>
      <c r="AZ48" s="87">
        <f t="shared" si="15"/>
        <v>0</v>
      </c>
      <c r="BA48" s="87">
        <f t="shared" si="16"/>
        <v>0</v>
      </c>
      <c r="BB48" s="87">
        <f t="shared" si="17"/>
        <v>0</v>
      </c>
      <c r="BC48" s="87">
        <f t="shared" si="18"/>
        <v>0</v>
      </c>
      <c r="BD48" s="87">
        <f t="shared" si="19"/>
        <v>0</v>
      </c>
      <c r="BE48" s="87">
        <f t="shared" si="20"/>
        <v>0</v>
      </c>
    </row>
    <row r="49" spans="1:57" s="90" customFormat="1" ht="15" customHeight="1" x14ac:dyDescent="0.25">
      <c r="A49" s="187" t="b">
        <v>1</v>
      </c>
      <c r="B49" s="188" t="b">
        <v>1</v>
      </c>
      <c r="C49" s="179" t="e">
        <f t="shared" si="0"/>
        <v>#N/A</v>
      </c>
      <c r="E49" s="180">
        <v>2020</v>
      </c>
      <c r="F49" s="100">
        <f t="shared" ref="F49:F112" si="23">F48+1</f>
        <v>37</v>
      </c>
      <c r="G49" s="181">
        <f t="shared" si="1"/>
        <v>33</v>
      </c>
      <c r="H49" s="181" t="e">
        <f t="shared" si="21"/>
        <v>#N/A</v>
      </c>
      <c r="J49" s="193">
        <v>0.1</v>
      </c>
      <c r="K49" s="101"/>
      <c r="L49" s="183" t="e">
        <f t="shared" si="22"/>
        <v>#N/A</v>
      </c>
      <c r="M49" s="88"/>
      <c r="N49" s="91"/>
      <c r="O49" s="91"/>
      <c r="P49" s="90">
        <v>0</v>
      </c>
      <c r="Q49" s="87">
        <v>1</v>
      </c>
      <c r="R49" s="87">
        <v>0.1419</v>
      </c>
      <c r="S49" s="87">
        <v>0.12468000000000001</v>
      </c>
      <c r="T49" s="87">
        <v>0.19632000000000002</v>
      </c>
      <c r="U49" s="87">
        <v>5.5880000000000006E-2</v>
      </c>
      <c r="V49" s="193">
        <v>0</v>
      </c>
      <c r="W49" s="193">
        <v>0</v>
      </c>
      <c r="X49" s="193">
        <v>0</v>
      </c>
      <c r="Y49" s="193">
        <v>0</v>
      </c>
      <c r="Z49" s="193">
        <v>0</v>
      </c>
      <c r="AA49" s="193">
        <v>0</v>
      </c>
      <c r="AB49" s="193">
        <v>0</v>
      </c>
      <c r="AC49" s="193">
        <v>0</v>
      </c>
      <c r="AD49" s="193">
        <v>0</v>
      </c>
      <c r="AE49" s="193">
        <v>0</v>
      </c>
      <c r="AF49" s="193">
        <v>0</v>
      </c>
      <c r="AG49" s="193">
        <v>0</v>
      </c>
      <c r="AH49" s="193">
        <v>0</v>
      </c>
      <c r="AI49" s="193">
        <v>0</v>
      </c>
      <c r="AJ49" s="193">
        <v>0</v>
      </c>
      <c r="AL49" s="87">
        <f t="shared" ref="AL49:AL111" si="24">Q49</f>
        <v>1</v>
      </c>
      <c r="AM49" s="87">
        <f t="shared" si="2"/>
        <v>0.1419</v>
      </c>
      <c r="AN49" s="87">
        <f t="shared" si="3"/>
        <v>0.12468000000000001</v>
      </c>
      <c r="AO49" s="87">
        <f t="shared" si="4"/>
        <v>0.19632000000000002</v>
      </c>
      <c r="AP49" s="87">
        <f t="shared" si="5"/>
        <v>5.5880000000000006E-2</v>
      </c>
      <c r="AQ49" s="87">
        <f t="shared" si="6"/>
        <v>0</v>
      </c>
      <c r="AR49" s="87">
        <f t="shared" si="7"/>
        <v>0</v>
      </c>
      <c r="AS49" s="87">
        <f t="shared" si="8"/>
        <v>0</v>
      </c>
      <c r="AT49" s="87">
        <f t="shared" si="9"/>
        <v>0</v>
      </c>
      <c r="AU49" s="87">
        <f t="shared" si="10"/>
        <v>0</v>
      </c>
      <c r="AV49" s="87">
        <f t="shared" si="11"/>
        <v>0</v>
      </c>
      <c r="AW49" s="87">
        <f t="shared" si="12"/>
        <v>0</v>
      </c>
      <c r="AX49" s="87">
        <f t="shared" si="13"/>
        <v>0</v>
      </c>
      <c r="AY49" s="87">
        <f t="shared" si="14"/>
        <v>0</v>
      </c>
      <c r="AZ49" s="87">
        <f t="shared" si="15"/>
        <v>0</v>
      </c>
      <c r="BA49" s="87">
        <f t="shared" si="16"/>
        <v>0</v>
      </c>
      <c r="BB49" s="87">
        <f t="shared" si="17"/>
        <v>0</v>
      </c>
      <c r="BC49" s="87">
        <f t="shared" si="18"/>
        <v>0</v>
      </c>
      <c r="BD49" s="87">
        <f t="shared" si="19"/>
        <v>0</v>
      </c>
      <c r="BE49" s="87">
        <f t="shared" si="20"/>
        <v>0</v>
      </c>
    </row>
    <row r="50" spans="1:57" s="90" customFormat="1" ht="15" customHeight="1" x14ac:dyDescent="0.25">
      <c r="A50" s="187" t="b">
        <v>1</v>
      </c>
      <c r="B50" s="188" t="b">
        <v>1</v>
      </c>
      <c r="C50" s="179" t="e">
        <f t="shared" si="0"/>
        <v>#N/A</v>
      </c>
      <c r="E50" s="180">
        <v>2021</v>
      </c>
      <c r="F50" s="100">
        <f t="shared" si="23"/>
        <v>38</v>
      </c>
      <c r="G50" s="181">
        <f t="shared" si="1"/>
        <v>32</v>
      </c>
      <c r="H50" s="181" t="e">
        <f t="shared" si="21"/>
        <v>#N/A</v>
      </c>
      <c r="J50" s="193">
        <v>0.1</v>
      </c>
      <c r="K50" s="101"/>
      <c r="L50" s="183" t="e">
        <f t="shared" si="22"/>
        <v>#N/A</v>
      </c>
      <c r="M50" s="88"/>
      <c r="N50" s="91"/>
      <c r="O50" s="91"/>
      <c r="P50" s="90">
        <v>0</v>
      </c>
      <c r="Q50" s="87">
        <v>1</v>
      </c>
      <c r="R50" s="87">
        <v>0.1419</v>
      </c>
      <c r="S50" s="87">
        <v>0.12468000000000001</v>
      </c>
      <c r="T50" s="87">
        <v>0.19632000000000002</v>
      </c>
      <c r="U50" s="87">
        <v>5.5880000000000006E-2</v>
      </c>
      <c r="V50" s="193">
        <v>0</v>
      </c>
      <c r="W50" s="193">
        <v>0</v>
      </c>
      <c r="X50" s="193">
        <v>0</v>
      </c>
      <c r="Y50" s="193">
        <v>0</v>
      </c>
      <c r="Z50" s="193">
        <v>0</v>
      </c>
      <c r="AA50" s="193">
        <v>0</v>
      </c>
      <c r="AB50" s="193">
        <v>0</v>
      </c>
      <c r="AC50" s="193">
        <v>0</v>
      </c>
      <c r="AD50" s="193">
        <v>0</v>
      </c>
      <c r="AE50" s="193">
        <v>0</v>
      </c>
      <c r="AF50" s="193">
        <v>0</v>
      </c>
      <c r="AG50" s="193">
        <v>0</v>
      </c>
      <c r="AH50" s="193">
        <v>0</v>
      </c>
      <c r="AI50" s="193">
        <v>0</v>
      </c>
      <c r="AJ50" s="193">
        <v>0</v>
      </c>
      <c r="AL50" s="87">
        <f t="shared" si="24"/>
        <v>1</v>
      </c>
      <c r="AM50" s="87">
        <f t="shared" si="2"/>
        <v>0.1419</v>
      </c>
      <c r="AN50" s="87">
        <f t="shared" si="3"/>
        <v>0.12468000000000001</v>
      </c>
      <c r="AO50" s="87">
        <f t="shared" si="4"/>
        <v>0.19632000000000002</v>
      </c>
      <c r="AP50" s="87">
        <f t="shared" si="5"/>
        <v>5.5880000000000006E-2</v>
      </c>
      <c r="AQ50" s="87">
        <f t="shared" si="6"/>
        <v>0</v>
      </c>
      <c r="AR50" s="87">
        <f t="shared" si="7"/>
        <v>0</v>
      </c>
      <c r="AS50" s="87">
        <f t="shared" si="8"/>
        <v>0</v>
      </c>
      <c r="AT50" s="87">
        <f t="shared" si="9"/>
        <v>0</v>
      </c>
      <c r="AU50" s="87">
        <f t="shared" si="10"/>
        <v>0</v>
      </c>
      <c r="AV50" s="87">
        <f t="shared" si="11"/>
        <v>0</v>
      </c>
      <c r="AW50" s="87">
        <f t="shared" si="12"/>
        <v>0</v>
      </c>
      <c r="AX50" s="87">
        <f t="shared" si="13"/>
        <v>0</v>
      </c>
      <c r="AY50" s="87">
        <f t="shared" si="14"/>
        <v>0</v>
      </c>
      <c r="AZ50" s="87">
        <f t="shared" si="15"/>
        <v>0</v>
      </c>
      <c r="BA50" s="87">
        <f t="shared" si="16"/>
        <v>0</v>
      </c>
      <c r="BB50" s="87">
        <f t="shared" si="17"/>
        <v>0</v>
      </c>
      <c r="BC50" s="87">
        <f t="shared" si="18"/>
        <v>0</v>
      </c>
      <c r="BD50" s="87">
        <f t="shared" si="19"/>
        <v>0</v>
      </c>
      <c r="BE50" s="87">
        <f t="shared" si="20"/>
        <v>0</v>
      </c>
    </row>
    <row r="51" spans="1:57" s="90" customFormat="1" ht="15" customHeight="1" x14ac:dyDescent="0.25">
      <c r="A51" s="187" t="b">
        <v>1</v>
      </c>
      <c r="B51" s="188" t="b">
        <v>1</v>
      </c>
      <c r="C51" s="179" t="e">
        <f t="shared" si="0"/>
        <v>#N/A</v>
      </c>
      <c r="E51" s="180">
        <v>2022</v>
      </c>
      <c r="F51" s="100">
        <f t="shared" si="23"/>
        <v>39</v>
      </c>
      <c r="G51" s="181">
        <f t="shared" si="1"/>
        <v>31</v>
      </c>
      <c r="H51" s="181" t="e">
        <f t="shared" si="21"/>
        <v>#N/A</v>
      </c>
      <c r="J51" s="193">
        <v>0.1</v>
      </c>
      <c r="K51" s="101"/>
      <c r="L51" s="183" t="e">
        <f t="shared" si="22"/>
        <v>#N/A</v>
      </c>
      <c r="M51" s="88"/>
      <c r="N51" s="91"/>
      <c r="O51" s="91"/>
      <c r="P51" s="90">
        <v>0</v>
      </c>
      <c r="Q51" s="87">
        <v>1</v>
      </c>
      <c r="R51" s="87">
        <v>0.1419</v>
      </c>
      <c r="S51" s="87">
        <v>0.12468000000000001</v>
      </c>
      <c r="T51" s="87">
        <v>0.19632000000000002</v>
      </c>
      <c r="U51" s="87">
        <v>5.5880000000000006E-2</v>
      </c>
      <c r="V51" s="193">
        <v>0</v>
      </c>
      <c r="W51" s="193">
        <v>0</v>
      </c>
      <c r="X51" s="193">
        <v>0</v>
      </c>
      <c r="Y51" s="193">
        <v>0</v>
      </c>
      <c r="Z51" s="193">
        <v>0</v>
      </c>
      <c r="AA51" s="193">
        <v>0</v>
      </c>
      <c r="AB51" s="193">
        <v>0</v>
      </c>
      <c r="AC51" s="193">
        <v>0</v>
      </c>
      <c r="AD51" s="193">
        <v>0</v>
      </c>
      <c r="AE51" s="193">
        <v>0</v>
      </c>
      <c r="AF51" s="193">
        <v>0</v>
      </c>
      <c r="AG51" s="193">
        <v>0</v>
      </c>
      <c r="AH51" s="193">
        <v>0</v>
      </c>
      <c r="AI51" s="193">
        <v>0</v>
      </c>
      <c r="AJ51" s="193">
        <v>0</v>
      </c>
      <c r="AL51" s="87">
        <f t="shared" si="24"/>
        <v>1</v>
      </c>
      <c r="AM51" s="87">
        <f t="shared" si="2"/>
        <v>0.1419</v>
      </c>
      <c r="AN51" s="87">
        <f t="shared" si="3"/>
        <v>0.12468000000000001</v>
      </c>
      <c r="AO51" s="87">
        <f t="shared" si="4"/>
        <v>0.19632000000000002</v>
      </c>
      <c r="AP51" s="87">
        <f t="shared" si="5"/>
        <v>5.5880000000000006E-2</v>
      </c>
      <c r="AQ51" s="87">
        <f t="shared" si="6"/>
        <v>0</v>
      </c>
      <c r="AR51" s="87">
        <f t="shared" si="7"/>
        <v>0</v>
      </c>
      <c r="AS51" s="87">
        <f t="shared" si="8"/>
        <v>0</v>
      </c>
      <c r="AT51" s="87">
        <f t="shared" si="9"/>
        <v>0</v>
      </c>
      <c r="AU51" s="87">
        <f t="shared" si="10"/>
        <v>0</v>
      </c>
      <c r="AV51" s="87">
        <f t="shared" si="11"/>
        <v>0</v>
      </c>
      <c r="AW51" s="87">
        <f t="shared" si="12"/>
        <v>0</v>
      </c>
      <c r="AX51" s="87">
        <f t="shared" si="13"/>
        <v>0</v>
      </c>
      <c r="AY51" s="87">
        <f t="shared" si="14"/>
        <v>0</v>
      </c>
      <c r="AZ51" s="87">
        <f t="shared" si="15"/>
        <v>0</v>
      </c>
      <c r="BA51" s="87">
        <f t="shared" si="16"/>
        <v>0</v>
      </c>
      <c r="BB51" s="87">
        <f t="shared" si="17"/>
        <v>0</v>
      </c>
      <c r="BC51" s="87">
        <f t="shared" si="18"/>
        <v>0</v>
      </c>
      <c r="BD51" s="87">
        <f t="shared" si="19"/>
        <v>0</v>
      </c>
      <c r="BE51" s="87">
        <f t="shared" si="20"/>
        <v>0</v>
      </c>
    </row>
    <row r="52" spans="1:57" s="90" customFormat="1" ht="15" customHeight="1" x14ac:dyDescent="0.25">
      <c r="A52" s="187" t="b">
        <v>1</v>
      </c>
      <c r="B52" s="188" t="b">
        <v>1</v>
      </c>
      <c r="C52" s="179" t="e">
        <f t="shared" si="0"/>
        <v>#N/A</v>
      </c>
      <c r="E52" s="180">
        <v>2023</v>
      </c>
      <c r="F52" s="100">
        <f t="shared" si="23"/>
        <v>40</v>
      </c>
      <c r="G52" s="181">
        <f t="shared" si="1"/>
        <v>30</v>
      </c>
      <c r="H52" s="181" t="e">
        <f t="shared" si="21"/>
        <v>#N/A</v>
      </c>
      <c r="J52" s="193">
        <v>0.1</v>
      </c>
      <c r="K52" s="101"/>
      <c r="L52" s="183" t="e">
        <f t="shared" si="22"/>
        <v>#N/A</v>
      </c>
      <c r="M52" s="88"/>
      <c r="N52" s="91"/>
      <c r="O52" s="91"/>
      <c r="P52" s="90">
        <v>0</v>
      </c>
      <c r="Q52" s="87">
        <v>1</v>
      </c>
      <c r="R52" s="87">
        <v>0.1419</v>
      </c>
      <c r="S52" s="87">
        <v>0.12468000000000001</v>
      </c>
      <c r="T52" s="87">
        <v>0.19632000000000002</v>
      </c>
      <c r="U52" s="87">
        <v>5.5880000000000006E-2</v>
      </c>
      <c r="V52" s="193">
        <v>0</v>
      </c>
      <c r="W52" s="193">
        <v>0</v>
      </c>
      <c r="X52" s="193">
        <v>0</v>
      </c>
      <c r="Y52" s="193">
        <v>0</v>
      </c>
      <c r="Z52" s="193">
        <v>0</v>
      </c>
      <c r="AA52" s="193">
        <v>0</v>
      </c>
      <c r="AB52" s="193">
        <v>0</v>
      </c>
      <c r="AC52" s="193">
        <v>0</v>
      </c>
      <c r="AD52" s="193">
        <v>0</v>
      </c>
      <c r="AE52" s="193">
        <v>0</v>
      </c>
      <c r="AF52" s="193">
        <v>0</v>
      </c>
      <c r="AG52" s="193">
        <v>0</v>
      </c>
      <c r="AH52" s="193">
        <v>0</v>
      </c>
      <c r="AI52" s="193">
        <v>0</v>
      </c>
      <c r="AJ52" s="193">
        <v>0</v>
      </c>
      <c r="AL52" s="87">
        <f t="shared" si="24"/>
        <v>1</v>
      </c>
      <c r="AM52" s="87">
        <f t="shared" si="2"/>
        <v>0.1419</v>
      </c>
      <c r="AN52" s="87">
        <f t="shared" si="3"/>
        <v>0.12468000000000001</v>
      </c>
      <c r="AO52" s="87">
        <f t="shared" si="4"/>
        <v>0.19632000000000002</v>
      </c>
      <c r="AP52" s="87">
        <f t="shared" si="5"/>
        <v>5.5880000000000006E-2</v>
      </c>
      <c r="AQ52" s="87">
        <f t="shared" si="6"/>
        <v>0</v>
      </c>
      <c r="AR52" s="87">
        <f t="shared" si="7"/>
        <v>0</v>
      </c>
      <c r="AS52" s="87">
        <f t="shared" si="8"/>
        <v>0</v>
      </c>
      <c r="AT52" s="87">
        <f t="shared" si="9"/>
        <v>0</v>
      </c>
      <c r="AU52" s="87">
        <f t="shared" si="10"/>
        <v>0</v>
      </c>
      <c r="AV52" s="87">
        <f t="shared" si="11"/>
        <v>0</v>
      </c>
      <c r="AW52" s="87">
        <f t="shared" si="12"/>
        <v>0</v>
      </c>
      <c r="AX52" s="87">
        <f t="shared" si="13"/>
        <v>0</v>
      </c>
      <c r="AY52" s="87">
        <f t="shared" si="14"/>
        <v>0</v>
      </c>
      <c r="AZ52" s="87">
        <f t="shared" si="15"/>
        <v>0</v>
      </c>
      <c r="BA52" s="87">
        <f t="shared" si="16"/>
        <v>0</v>
      </c>
      <c r="BB52" s="87">
        <f t="shared" si="17"/>
        <v>0</v>
      </c>
      <c r="BC52" s="87">
        <f t="shared" si="18"/>
        <v>0</v>
      </c>
      <c r="BD52" s="87">
        <f t="shared" si="19"/>
        <v>0</v>
      </c>
      <c r="BE52" s="87">
        <f t="shared" si="20"/>
        <v>0</v>
      </c>
    </row>
    <row r="53" spans="1:57" s="90" customFormat="1" ht="15" customHeight="1" x14ac:dyDescent="0.25">
      <c r="A53" s="187" t="b">
        <v>1</v>
      </c>
      <c r="B53" s="188" t="b">
        <v>1</v>
      </c>
      <c r="C53" s="179" t="e">
        <f t="shared" si="0"/>
        <v>#N/A</v>
      </c>
      <c r="E53" s="180">
        <v>2024</v>
      </c>
      <c r="F53" s="100">
        <f t="shared" si="23"/>
        <v>41</v>
      </c>
      <c r="G53" s="181">
        <f t="shared" si="1"/>
        <v>29</v>
      </c>
      <c r="H53" s="181" t="e">
        <f t="shared" si="21"/>
        <v>#N/A</v>
      </c>
      <c r="J53" s="193">
        <v>0.1</v>
      </c>
      <c r="K53" s="101"/>
      <c r="L53" s="183" t="e">
        <f t="shared" si="22"/>
        <v>#N/A</v>
      </c>
      <c r="M53" s="88"/>
      <c r="N53" s="91"/>
      <c r="O53" s="91"/>
      <c r="P53" s="90">
        <v>0</v>
      </c>
      <c r="Q53" s="87">
        <v>1</v>
      </c>
      <c r="R53" s="87">
        <v>0.1419</v>
      </c>
      <c r="S53" s="87">
        <v>0.12468000000000001</v>
      </c>
      <c r="T53" s="87">
        <v>0.19632000000000002</v>
      </c>
      <c r="U53" s="87">
        <v>5.5880000000000006E-2</v>
      </c>
      <c r="V53" s="193">
        <v>0</v>
      </c>
      <c r="W53" s="193">
        <v>0</v>
      </c>
      <c r="X53" s="193">
        <v>0</v>
      </c>
      <c r="Y53" s="193">
        <v>0</v>
      </c>
      <c r="Z53" s="193">
        <v>0</v>
      </c>
      <c r="AA53" s="193">
        <v>0</v>
      </c>
      <c r="AB53" s="193">
        <v>0</v>
      </c>
      <c r="AC53" s="193">
        <v>0</v>
      </c>
      <c r="AD53" s="193">
        <v>0</v>
      </c>
      <c r="AE53" s="193">
        <v>0</v>
      </c>
      <c r="AF53" s="193">
        <v>0</v>
      </c>
      <c r="AG53" s="193">
        <v>0</v>
      </c>
      <c r="AH53" s="193">
        <v>0</v>
      </c>
      <c r="AI53" s="193">
        <v>0</v>
      </c>
      <c r="AJ53" s="193">
        <v>0</v>
      </c>
      <c r="AL53" s="87">
        <f t="shared" si="24"/>
        <v>1</v>
      </c>
      <c r="AM53" s="87">
        <f t="shared" si="2"/>
        <v>0.1419</v>
      </c>
      <c r="AN53" s="87">
        <f t="shared" si="3"/>
        <v>0.12468000000000001</v>
      </c>
      <c r="AO53" s="87">
        <f t="shared" si="4"/>
        <v>0.19632000000000002</v>
      </c>
      <c r="AP53" s="87">
        <f t="shared" si="5"/>
        <v>5.5880000000000006E-2</v>
      </c>
      <c r="AQ53" s="87">
        <f t="shared" si="6"/>
        <v>0</v>
      </c>
      <c r="AR53" s="87">
        <f t="shared" si="7"/>
        <v>0</v>
      </c>
      <c r="AS53" s="87">
        <f t="shared" si="8"/>
        <v>0</v>
      </c>
      <c r="AT53" s="87">
        <f t="shared" si="9"/>
        <v>0</v>
      </c>
      <c r="AU53" s="87">
        <f t="shared" si="10"/>
        <v>0</v>
      </c>
      <c r="AV53" s="87">
        <f t="shared" si="11"/>
        <v>0</v>
      </c>
      <c r="AW53" s="87">
        <f t="shared" si="12"/>
        <v>0</v>
      </c>
      <c r="AX53" s="87">
        <f t="shared" si="13"/>
        <v>0</v>
      </c>
      <c r="AY53" s="87">
        <f t="shared" si="14"/>
        <v>0</v>
      </c>
      <c r="AZ53" s="87">
        <f t="shared" si="15"/>
        <v>0</v>
      </c>
      <c r="BA53" s="87">
        <f t="shared" si="16"/>
        <v>0</v>
      </c>
      <c r="BB53" s="87">
        <f t="shared" si="17"/>
        <v>0</v>
      </c>
      <c r="BC53" s="87">
        <f t="shared" si="18"/>
        <v>0</v>
      </c>
      <c r="BD53" s="87">
        <f t="shared" si="19"/>
        <v>0</v>
      </c>
      <c r="BE53" s="87">
        <f t="shared" si="20"/>
        <v>0</v>
      </c>
    </row>
    <row r="54" spans="1:57" s="90" customFormat="1" ht="15" customHeight="1" x14ac:dyDescent="0.25">
      <c r="A54" s="187" t="b">
        <v>1</v>
      </c>
      <c r="B54" s="188" t="b">
        <v>1</v>
      </c>
      <c r="C54" s="179" t="e">
        <f t="shared" si="0"/>
        <v>#N/A</v>
      </c>
      <c r="E54" s="180">
        <v>2025</v>
      </c>
      <c r="F54" s="100">
        <f t="shared" si="23"/>
        <v>42</v>
      </c>
      <c r="G54" s="181">
        <f t="shared" si="1"/>
        <v>28</v>
      </c>
      <c r="H54" s="181" t="e">
        <f t="shared" si="21"/>
        <v>#N/A</v>
      </c>
      <c r="J54" s="193">
        <v>0.1</v>
      </c>
      <c r="K54" s="101"/>
      <c r="L54" s="183" t="e">
        <f t="shared" si="22"/>
        <v>#N/A</v>
      </c>
      <c r="M54" s="88"/>
      <c r="N54" s="91"/>
      <c r="O54" s="91"/>
      <c r="P54" s="90">
        <v>0</v>
      </c>
      <c r="Q54" s="87">
        <v>1</v>
      </c>
      <c r="R54" s="87">
        <v>0.1419</v>
      </c>
      <c r="S54" s="87">
        <v>0.12468000000000001</v>
      </c>
      <c r="T54" s="87">
        <v>0.19632000000000002</v>
      </c>
      <c r="U54" s="87">
        <v>5.5880000000000006E-2</v>
      </c>
      <c r="V54" s="193">
        <v>0</v>
      </c>
      <c r="W54" s="193">
        <v>0</v>
      </c>
      <c r="X54" s="193">
        <v>0</v>
      </c>
      <c r="Y54" s="193">
        <v>0</v>
      </c>
      <c r="Z54" s="193">
        <v>0</v>
      </c>
      <c r="AA54" s="193">
        <v>0</v>
      </c>
      <c r="AB54" s="193">
        <v>0</v>
      </c>
      <c r="AC54" s="193">
        <v>0</v>
      </c>
      <c r="AD54" s="193">
        <v>0</v>
      </c>
      <c r="AE54" s="193">
        <v>0</v>
      </c>
      <c r="AF54" s="193">
        <v>0</v>
      </c>
      <c r="AG54" s="193">
        <v>0</v>
      </c>
      <c r="AH54" s="193">
        <v>0</v>
      </c>
      <c r="AI54" s="193">
        <v>0</v>
      </c>
      <c r="AJ54" s="193">
        <v>0</v>
      </c>
      <c r="AL54" s="87">
        <f t="shared" si="24"/>
        <v>1</v>
      </c>
      <c r="AM54" s="87">
        <f t="shared" si="2"/>
        <v>0.1419</v>
      </c>
      <c r="AN54" s="87">
        <f t="shared" si="3"/>
        <v>0.12468000000000001</v>
      </c>
      <c r="AO54" s="87">
        <f t="shared" si="4"/>
        <v>0.19632000000000002</v>
      </c>
      <c r="AP54" s="87">
        <f t="shared" si="5"/>
        <v>5.5880000000000006E-2</v>
      </c>
      <c r="AQ54" s="87">
        <f t="shared" si="6"/>
        <v>0</v>
      </c>
      <c r="AR54" s="87">
        <f t="shared" si="7"/>
        <v>0</v>
      </c>
      <c r="AS54" s="87">
        <f t="shared" si="8"/>
        <v>0</v>
      </c>
      <c r="AT54" s="87">
        <f t="shared" si="9"/>
        <v>0</v>
      </c>
      <c r="AU54" s="87">
        <f t="shared" si="10"/>
        <v>0</v>
      </c>
      <c r="AV54" s="87">
        <f t="shared" si="11"/>
        <v>0</v>
      </c>
      <c r="AW54" s="87">
        <f t="shared" si="12"/>
        <v>0</v>
      </c>
      <c r="AX54" s="87">
        <f t="shared" si="13"/>
        <v>0</v>
      </c>
      <c r="AY54" s="87">
        <f t="shared" si="14"/>
        <v>0</v>
      </c>
      <c r="AZ54" s="87">
        <f t="shared" si="15"/>
        <v>0</v>
      </c>
      <c r="BA54" s="87">
        <f t="shared" si="16"/>
        <v>0</v>
      </c>
      <c r="BB54" s="87">
        <f t="shared" si="17"/>
        <v>0</v>
      </c>
      <c r="BC54" s="87">
        <f t="shared" si="18"/>
        <v>0</v>
      </c>
      <c r="BD54" s="87">
        <f t="shared" si="19"/>
        <v>0</v>
      </c>
      <c r="BE54" s="87">
        <f t="shared" si="20"/>
        <v>0</v>
      </c>
    </row>
    <row r="55" spans="1:57" s="90" customFormat="1" ht="15" customHeight="1" x14ac:dyDescent="0.25">
      <c r="A55" s="187" t="b">
        <v>1</v>
      </c>
      <c r="B55" s="188" t="b">
        <v>1</v>
      </c>
      <c r="C55" s="179" t="e">
        <f t="shared" si="0"/>
        <v>#N/A</v>
      </c>
      <c r="E55" s="180">
        <v>2026</v>
      </c>
      <c r="F55" s="100">
        <f t="shared" si="23"/>
        <v>43</v>
      </c>
      <c r="G55" s="181">
        <f t="shared" si="1"/>
        <v>27</v>
      </c>
      <c r="H55" s="181" t="e">
        <f t="shared" si="21"/>
        <v>#N/A</v>
      </c>
      <c r="J55" s="193">
        <v>0.1</v>
      </c>
      <c r="K55" s="101"/>
      <c r="L55" s="183" t="e">
        <f t="shared" si="22"/>
        <v>#N/A</v>
      </c>
      <c r="M55" s="88"/>
      <c r="N55" s="91"/>
      <c r="O55" s="91"/>
      <c r="P55" s="90">
        <v>0</v>
      </c>
      <c r="Q55" s="87">
        <v>1</v>
      </c>
      <c r="R55" s="87">
        <v>0.1419</v>
      </c>
      <c r="S55" s="87">
        <v>0.12468000000000001</v>
      </c>
      <c r="T55" s="87">
        <v>0.19632000000000002</v>
      </c>
      <c r="U55" s="87">
        <v>5.5880000000000006E-2</v>
      </c>
      <c r="V55" s="193">
        <v>0</v>
      </c>
      <c r="W55" s="193">
        <v>0</v>
      </c>
      <c r="X55" s="193">
        <v>0</v>
      </c>
      <c r="Y55" s="193">
        <v>0</v>
      </c>
      <c r="Z55" s="193">
        <v>0</v>
      </c>
      <c r="AA55" s="193">
        <v>0</v>
      </c>
      <c r="AB55" s="193">
        <v>0</v>
      </c>
      <c r="AC55" s="193">
        <v>0</v>
      </c>
      <c r="AD55" s="193">
        <v>0</v>
      </c>
      <c r="AE55" s="193">
        <v>0</v>
      </c>
      <c r="AF55" s="193">
        <v>0</v>
      </c>
      <c r="AG55" s="193">
        <v>0</v>
      </c>
      <c r="AH55" s="193">
        <v>0</v>
      </c>
      <c r="AI55" s="193">
        <v>0</v>
      </c>
      <c r="AJ55" s="193">
        <v>0</v>
      </c>
      <c r="AL55" s="87">
        <f t="shared" si="24"/>
        <v>1</v>
      </c>
      <c r="AM55" s="87">
        <f t="shared" si="2"/>
        <v>0.1419</v>
      </c>
      <c r="AN55" s="87">
        <f t="shared" si="3"/>
        <v>0.12468000000000001</v>
      </c>
      <c r="AO55" s="87">
        <f t="shared" si="4"/>
        <v>0.19632000000000002</v>
      </c>
      <c r="AP55" s="87">
        <f t="shared" si="5"/>
        <v>5.5880000000000006E-2</v>
      </c>
      <c r="AQ55" s="87">
        <f t="shared" si="6"/>
        <v>0</v>
      </c>
      <c r="AR55" s="87">
        <f t="shared" si="7"/>
        <v>0</v>
      </c>
      <c r="AS55" s="87">
        <f t="shared" si="8"/>
        <v>0</v>
      </c>
      <c r="AT55" s="87">
        <f t="shared" si="9"/>
        <v>0</v>
      </c>
      <c r="AU55" s="87">
        <f t="shared" si="10"/>
        <v>0</v>
      </c>
      <c r="AV55" s="87">
        <f t="shared" si="11"/>
        <v>0</v>
      </c>
      <c r="AW55" s="87">
        <f t="shared" si="12"/>
        <v>0</v>
      </c>
      <c r="AX55" s="87">
        <f t="shared" si="13"/>
        <v>0</v>
      </c>
      <c r="AY55" s="87">
        <f t="shared" si="14"/>
        <v>0</v>
      </c>
      <c r="AZ55" s="87">
        <f t="shared" si="15"/>
        <v>0</v>
      </c>
      <c r="BA55" s="87">
        <f t="shared" si="16"/>
        <v>0</v>
      </c>
      <c r="BB55" s="87">
        <f t="shared" si="17"/>
        <v>0</v>
      </c>
      <c r="BC55" s="87">
        <f t="shared" si="18"/>
        <v>0</v>
      </c>
      <c r="BD55" s="87">
        <f t="shared" si="19"/>
        <v>0</v>
      </c>
      <c r="BE55" s="87">
        <f t="shared" si="20"/>
        <v>0</v>
      </c>
    </row>
    <row r="56" spans="1:57" s="90" customFormat="1" ht="15" customHeight="1" x14ac:dyDescent="0.25">
      <c r="A56" s="187" t="b">
        <v>1</v>
      </c>
      <c r="B56" s="188" t="b">
        <v>1</v>
      </c>
      <c r="C56" s="179" t="e">
        <f t="shared" si="0"/>
        <v>#N/A</v>
      </c>
      <c r="E56" s="180">
        <v>2027</v>
      </c>
      <c r="F56" s="100">
        <f t="shared" si="23"/>
        <v>44</v>
      </c>
      <c r="G56" s="181">
        <f t="shared" si="1"/>
        <v>26</v>
      </c>
      <c r="H56" s="181" t="e">
        <f t="shared" si="21"/>
        <v>#N/A</v>
      </c>
      <c r="J56" s="193">
        <v>0.1</v>
      </c>
      <c r="K56" s="101"/>
      <c r="L56" s="183" t="e">
        <f t="shared" si="22"/>
        <v>#N/A</v>
      </c>
      <c r="M56" s="88"/>
      <c r="N56" s="91"/>
      <c r="O56" s="91"/>
      <c r="P56" s="90">
        <v>0</v>
      </c>
      <c r="Q56" s="87">
        <v>1</v>
      </c>
      <c r="R56" s="87">
        <v>0.1419</v>
      </c>
      <c r="S56" s="87">
        <v>0.12468000000000001</v>
      </c>
      <c r="T56" s="87">
        <v>0.19632000000000002</v>
      </c>
      <c r="U56" s="87">
        <v>5.5880000000000006E-2</v>
      </c>
      <c r="V56" s="193">
        <v>0</v>
      </c>
      <c r="W56" s="193">
        <v>0</v>
      </c>
      <c r="X56" s="193">
        <v>0</v>
      </c>
      <c r="Y56" s="193">
        <v>0</v>
      </c>
      <c r="Z56" s="193">
        <v>0</v>
      </c>
      <c r="AA56" s="193">
        <v>0</v>
      </c>
      <c r="AB56" s="193">
        <v>0</v>
      </c>
      <c r="AC56" s="193">
        <v>0</v>
      </c>
      <c r="AD56" s="193">
        <v>0</v>
      </c>
      <c r="AE56" s="193">
        <v>0</v>
      </c>
      <c r="AF56" s="193">
        <v>0</v>
      </c>
      <c r="AG56" s="193">
        <v>0</v>
      </c>
      <c r="AH56" s="193">
        <v>0</v>
      </c>
      <c r="AI56" s="193">
        <v>0</v>
      </c>
      <c r="AJ56" s="193">
        <v>0</v>
      </c>
      <c r="AL56" s="87">
        <f t="shared" si="24"/>
        <v>1</v>
      </c>
      <c r="AM56" s="87">
        <f t="shared" si="2"/>
        <v>0.1419</v>
      </c>
      <c r="AN56" s="87">
        <f t="shared" si="3"/>
        <v>0.12468000000000001</v>
      </c>
      <c r="AO56" s="87">
        <f t="shared" si="4"/>
        <v>0.19632000000000002</v>
      </c>
      <c r="AP56" s="87">
        <f t="shared" si="5"/>
        <v>5.5880000000000006E-2</v>
      </c>
      <c r="AQ56" s="87">
        <f t="shared" si="6"/>
        <v>0</v>
      </c>
      <c r="AR56" s="87">
        <f t="shared" si="7"/>
        <v>0</v>
      </c>
      <c r="AS56" s="87">
        <f t="shared" si="8"/>
        <v>0</v>
      </c>
      <c r="AT56" s="87">
        <f t="shared" si="9"/>
        <v>0</v>
      </c>
      <c r="AU56" s="87">
        <f t="shared" si="10"/>
        <v>0</v>
      </c>
      <c r="AV56" s="87">
        <f t="shared" si="11"/>
        <v>0</v>
      </c>
      <c r="AW56" s="87">
        <f t="shared" si="12"/>
        <v>0</v>
      </c>
      <c r="AX56" s="87">
        <f t="shared" si="13"/>
        <v>0</v>
      </c>
      <c r="AY56" s="87">
        <f t="shared" si="14"/>
        <v>0</v>
      </c>
      <c r="AZ56" s="87">
        <f t="shared" si="15"/>
        <v>0</v>
      </c>
      <c r="BA56" s="87">
        <f t="shared" si="16"/>
        <v>0</v>
      </c>
      <c r="BB56" s="87">
        <f t="shared" si="17"/>
        <v>0</v>
      </c>
      <c r="BC56" s="87">
        <f t="shared" si="18"/>
        <v>0</v>
      </c>
      <c r="BD56" s="87">
        <f t="shared" si="19"/>
        <v>0</v>
      </c>
      <c r="BE56" s="87">
        <f t="shared" si="20"/>
        <v>0</v>
      </c>
    </row>
    <row r="57" spans="1:57" s="90" customFormat="1" ht="15" customHeight="1" x14ac:dyDescent="0.25">
      <c r="A57" s="187" t="b">
        <v>1</v>
      </c>
      <c r="B57" s="188" t="b">
        <v>1</v>
      </c>
      <c r="C57" s="179" t="e">
        <f t="shared" si="0"/>
        <v>#N/A</v>
      </c>
      <c r="E57" s="180">
        <v>2028</v>
      </c>
      <c r="F57" s="100">
        <f t="shared" si="23"/>
        <v>45</v>
      </c>
      <c r="G57" s="181">
        <f t="shared" si="1"/>
        <v>25</v>
      </c>
      <c r="H57" s="181" t="e">
        <f t="shared" si="21"/>
        <v>#N/A</v>
      </c>
      <c r="J57" s="193">
        <v>0.1</v>
      </c>
      <c r="K57" s="101"/>
      <c r="L57" s="183" t="e">
        <f t="shared" si="22"/>
        <v>#N/A</v>
      </c>
      <c r="M57" s="88"/>
      <c r="N57" s="91"/>
      <c r="O57" s="91"/>
      <c r="P57" s="90">
        <v>0</v>
      </c>
      <c r="Q57" s="87">
        <v>1</v>
      </c>
      <c r="R57" s="87">
        <v>0.1419</v>
      </c>
      <c r="S57" s="87">
        <v>0.12468000000000001</v>
      </c>
      <c r="T57" s="87">
        <v>0.19632000000000002</v>
      </c>
      <c r="U57" s="87">
        <v>5.5880000000000006E-2</v>
      </c>
      <c r="V57" s="193">
        <v>0</v>
      </c>
      <c r="W57" s="193">
        <v>0</v>
      </c>
      <c r="X57" s="193">
        <v>0</v>
      </c>
      <c r="Y57" s="193">
        <v>0</v>
      </c>
      <c r="Z57" s="193">
        <v>0</v>
      </c>
      <c r="AA57" s="193">
        <v>0</v>
      </c>
      <c r="AB57" s="193">
        <v>0</v>
      </c>
      <c r="AC57" s="193">
        <v>0</v>
      </c>
      <c r="AD57" s="193">
        <v>0</v>
      </c>
      <c r="AE57" s="193">
        <v>0</v>
      </c>
      <c r="AF57" s="193">
        <v>0</v>
      </c>
      <c r="AG57" s="193">
        <v>0</v>
      </c>
      <c r="AH57" s="193">
        <v>0</v>
      </c>
      <c r="AI57" s="193">
        <v>0</v>
      </c>
      <c r="AJ57" s="193">
        <v>0</v>
      </c>
      <c r="AL57" s="87">
        <f t="shared" si="24"/>
        <v>1</v>
      </c>
      <c r="AM57" s="87">
        <f t="shared" si="2"/>
        <v>0.1419</v>
      </c>
      <c r="AN57" s="87">
        <f t="shared" si="3"/>
        <v>0.12468000000000001</v>
      </c>
      <c r="AO57" s="87">
        <f t="shared" si="4"/>
        <v>0.19632000000000002</v>
      </c>
      <c r="AP57" s="87">
        <f t="shared" si="5"/>
        <v>5.5880000000000006E-2</v>
      </c>
      <c r="AQ57" s="87">
        <f t="shared" si="6"/>
        <v>0</v>
      </c>
      <c r="AR57" s="87">
        <f t="shared" si="7"/>
        <v>0</v>
      </c>
      <c r="AS57" s="87">
        <f t="shared" si="8"/>
        <v>0</v>
      </c>
      <c r="AT57" s="87">
        <f t="shared" si="9"/>
        <v>0</v>
      </c>
      <c r="AU57" s="87">
        <f t="shared" si="10"/>
        <v>0</v>
      </c>
      <c r="AV57" s="87">
        <f t="shared" si="11"/>
        <v>0</v>
      </c>
      <c r="AW57" s="87">
        <f t="shared" si="12"/>
        <v>0</v>
      </c>
      <c r="AX57" s="87">
        <f t="shared" si="13"/>
        <v>0</v>
      </c>
      <c r="AY57" s="87">
        <f t="shared" si="14"/>
        <v>0</v>
      </c>
      <c r="AZ57" s="87">
        <f t="shared" si="15"/>
        <v>0</v>
      </c>
      <c r="BA57" s="87">
        <f t="shared" si="16"/>
        <v>0</v>
      </c>
      <c r="BB57" s="87">
        <f t="shared" si="17"/>
        <v>0</v>
      </c>
      <c r="BC57" s="87">
        <f t="shared" si="18"/>
        <v>0</v>
      </c>
      <c r="BD57" s="87">
        <f t="shared" si="19"/>
        <v>0</v>
      </c>
      <c r="BE57" s="87">
        <f t="shared" si="20"/>
        <v>0</v>
      </c>
    </row>
    <row r="58" spans="1:57" s="90" customFormat="1" ht="15" customHeight="1" x14ac:dyDescent="0.25">
      <c r="A58" s="187" t="b">
        <v>1</v>
      </c>
      <c r="B58" s="188" t="b">
        <v>1</v>
      </c>
      <c r="C58" s="179" t="e">
        <f t="shared" si="0"/>
        <v>#N/A</v>
      </c>
      <c r="E58" s="180">
        <v>2029</v>
      </c>
      <c r="F58" s="100">
        <f t="shared" si="23"/>
        <v>46</v>
      </c>
      <c r="G58" s="181">
        <f t="shared" si="1"/>
        <v>24</v>
      </c>
      <c r="H58" s="181" t="e">
        <f t="shared" si="21"/>
        <v>#N/A</v>
      </c>
      <c r="J58" s="193">
        <v>0.1</v>
      </c>
      <c r="K58" s="101"/>
      <c r="L58" s="183" t="e">
        <f t="shared" si="22"/>
        <v>#N/A</v>
      </c>
      <c r="M58" s="88"/>
      <c r="N58" s="91"/>
      <c r="O58" s="91"/>
      <c r="P58" s="90">
        <v>0</v>
      </c>
      <c r="Q58" s="87">
        <v>1</v>
      </c>
      <c r="R58" s="87">
        <v>0.1419</v>
      </c>
      <c r="S58" s="87">
        <v>0.12468000000000001</v>
      </c>
      <c r="T58" s="87">
        <v>0.19632000000000002</v>
      </c>
      <c r="U58" s="87">
        <v>5.5880000000000006E-2</v>
      </c>
      <c r="V58" s="193">
        <v>0</v>
      </c>
      <c r="W58" s="193">
        <v>0</v>
      </c>
      <c r="X58" s="193">
        <v>0</v>
      </c>
      <c r="Y58" s="193">
        <v>0</v>
      </c>
      <c r="Z58" s="193">
        <v>0</v>
      </c>
      <c r="AA58" s="193">
        <v>0</v>
      </c>
      <c r="AB58" s="193">
        <v>0</v>
      </c>
      <c r="AC58" s="193">
        <v>0</v>
      </c>
      <c r="AD58" s="193">
        <v>0</v>
      </c>
      <c r="AE58" s="193">
        <v>0</v>
      </c>
      <c r="AF58" s="193">
        <v>0</v>
      </c>
      <c r="AG58" s="193">
        <v>0</v>
      </c>
      <c r="AH58" s="193">
        <v>0</v>
      </c>
      <c r="AI58" s="193">
        <v>0</v>
      </c>
      <c r="AJ58" s="193">
        <v>0</v>
      </c>
      <c r="AL58" s="87">
        <f t="shared" si="24"/>
        <v>1</v>
      </c>
      <c r="AM58" s="87">
        <f t="shared" si="2"/>
        <v>0.1419</v>
      </c>
      <c r="AN58" s="87">
        <f t="shared" si="3"/>
        <v>0.12468000000000001</v>
      </c>
      <c r="AO58" s="87">
        <f t="shared" si="4"/>
        <v>0.19632000000000002</v>
      </c>
      <c r="AP58" s="87">
        <f t="shared" si="5"/>
        <v>5.5880000000000006E-2</v>
      </c>
      <c r="AQ58" s="87">
        <f t="shared" si="6"/>
        <v>0</v>
      </c>
      <c r="AR58" s="87">
        <f t="shared" si="7"/>
        <v>0</v>
      </c>
      <c r="AS58" s="87">
        <f t="shared" si="8"/>
        <v>0</v>
      </c>
      <c r="AT58" s="87">
        <f t="shared" si="9"/>
        <v>0</v>
      </c>
      <c r="AU58" s="87">
        <f t="shared" si="10"/>
        <v>0</v>
      </c>
      <c r="AV58" s="87">
        <f t="shared" si="11"/>
        <v>0</v>
      </c>
      <c r="AW58" s="87">
        <f t="shared" si="12"/>
        <v>0</v>
      </c>
      <c r="AX58" s="87">
        <f t="shared" si="13"/>
        <v>0</v>
      </c>
      <c r="AY58" s="87">
        <f t="shared" si="14"/>
        <v>0</v>
      </c>
      <c r="AZ58" s="87">
        <f t="shared" si="15"/>
        <v>0</v>
      </c>
      <c r="BA58" s="87">
        <f t="shared" si="16"/>
        <v>0</v>
      </c>
      <c r="BB58" s="87">
        <f t="shared" si="17"/>
        <v>0</v>
      </c>
      <c r="BC58" s="87">
        <f t="shared" si="18"/>
        <v>0</v>
      </c>
      <c r="BD58" s="87">
        <f t="shared" si="19"/>
        <v>0</v>
      </c>
      <c r="BE58" s="87">
        <f t="shared" si="20"/>
        <v>0</v>
      </c>
    </row>
    <row r="59" spans="1:57" s="90" customFormat="1" ht="15" customHeight="1" x14ac:dyDescent="0.25">
      <c r="A59" s="187" t="b">
        <v>1</v>
      </c>
      <c r="B59" s="188" t="b">
        <v>1</v>
      </c>
      <c r="C59" s="179" t="e">
        <f t="shared" si="0"/>
        <v>#N/A</v>
      </c>
      <c r="E59" s="180">
        <v>2030</v>
      </c>
      <c r="F59" s="100">
        <f t="shared" si="23"/>
        <v>47</v>
      </c>
      <c r="G59" s="181">
        <f t="shared" si="1"/>
        <v>23</v>
      </c>
      <c r="H59" s="181" t="e">
        <f t="shared" si="21"/>
        <v>#N/A</v>
      </c>
      <c r="J59" s="193">
        <v>0.1</v>
      </c>
      <c r="K59" s="101"/>
      <c r="L59" s="183" t="e">
        <f t="shared" si="22"/>
        <v>#N/A</v>
      </c>
      <c r="M59" s="88"/>
      <c r="N59" s="91"/>
      <c r="O59" s="91"/>
      <c r="P59" s="90">
        <v>0</v>
      </c>
      <c r="Q59" s="87">
        <v>1</v>
      </c>
      <c r="R59" s="87">
        <v>0.1419</v>
      </c>
      <c r="S59" s="87">
        <v>0.12468000000000001</v>
      </c>
      <c r="T59" s="87">
        <v>0.19632000000000002</v>
      </c>
      <c r="U59" s="87">
        <v>5.5880000000000006E-2</v>
      </c>
      <c r="V59" s="193">
        <v>0</v>
      </c>
      <c r="W59" s="193">
        <v>0</v>
      </c>
      <c r="X59" s="193">
        <v>0</v>
      </c>
      <c r="Y59" s="193">
        <v>0</v>
      </c>
      <c r="Z59" s="193">
        <v>0</v>
      </c>
      <c r="AA59" s="193">
        <v>0</v>
      </c>
      <c r="AB59" s="193">
        <v>0</v>
      </c>
      <c r="AC59" s="193">
        <v>0</v>
      </c>
      <c r="AD59" s="193">
        <v>0</v>
      </c>
      <c r="AE59" s="193">
        <v>0</v>
      </c>
      <c r="AF59" s="193">
        <v>0</v>
      </c>
      <c r="AG59" s="193">
        <v>0</v>
      </c>
      <c r="AH59" s="193">
        <v>0</v>
      </c>
      <c r="AI59" s="193">
        <v>0</v>
      </c>
      <c r="AJ59" s="193">
        <v>0</v>
      </c>
      <c r="AL59" s="87">
        <f t="shared" si="24"/>
        <v>1</v>
      </c>
      <c r="AM59" s="87">
        <f t="shared" si="2"/>
        <v>0.1419</v>
      </c>
      <c r="AN59" s="87">
        <f t="shared" si="3"/>
        <v>0.12468000000000001</v>
      </c>
      <c r="AO59" s="87">
        <f t="shared" si="4"/>
        <v>0.19632000000000002</v>
      </c>
      <c r="AP59" s="87">
        <f t="shared" si="5"/>
        <v>5.5880000000000006E-2</v>
      </c>
      <c r="AQ59" s="87">
        <f t="shared" si="6"/>
        <v>0</v>
      </c>
      <c r="AR59" s="87">
        <f t="shared" si="7"/>
        <v>0</v>
      </c>
      <c r="AS59" s="87">
        <f t="shared" si="8"/>
        <v>0</v>
      </c>
      <c r="AT59" s="87">
        <f t="shared" si="9"/>
        <v>0</v>
      </c>
      <c r="AU59" s="87">
        <f t="shared" si="10"/>
        <v>0</v>
      </c>
      <c r="AV59" s="87">
        <f t="shared" si="11"/>
        <v>0</v>
      </c>
      <c r="AW59" s="87">
        <f t="shared" si="12"/>
        <v>0</v>
      </c>
      <c r="AX59" s="87">
        <f t="shared" si="13"/>
        <v>0</v>
      </c>
      <c r="AY59" s="87">
        <f t="shared" si="14"/>
        <v>0</v>
      </c>
      <c r="AZ59" s="87">
        <f t="shared" si="15"/>
        <v>0</v>
      </c>
      <c r="BA59" s="87">
        <f t="shared" si="16"/>
        <v>0</v>
      </c>
      <c r="BB59" s="87">
        <f t="shared" si="17"/>
        <v>0</v>
      </c>
      <c r="BC59" s="87">
        <f t="shared" si="18"/>
        <v>0</v>
      </c>
      <c r="BD59" s="87">
        <f t="shared" si="19"/>
        <v>0</v>
      </c>
      <c r="BE59" s="87">
        <f t="shared" si="20"/>
        <v>0</v>
      </c>
    </row>
    <row r="60" spans="1:57" s="90" customFormat="1" ht="15" customHeight="1" x14ac:dyDescent="0.25">
      <c r="A60" s="187" t="b">
        <v>1</v>
      </c>
      <c r="B60" s="188" t="b">
        <v>1</v>
      </c>
      <c r="C60" s="179" t="e">
        <f t="shared" si="0"/>
        <v>#N/A</v>
      </c>
      <c r="E60" s="180">
        <v>2031</v>
      </c>
      <c r="F60" s="100">
        <f t="shared" si="23"/>
        <v>48</v>
      </c>
      <c r="G60" s="181">
        <f t="shared" si="1"/>
        <v>22</v>
      </c>
      <c r="H60" s="181" t="e">
        <f t="shared" si="21"/>
        <v>#N/A</v>
      </c>
      <c r="J60" s="193">
        <v>0.1</v>
      </c>
      <c r="K60" s="101"/>
      <c r="L60" s="183" t="e">
        <f t="shared" si="22"/>
        <v>#N/A</v>
      </c>
      <c r="M60" s="88"/>
      <c r="N60" s="91"/>
      <c r="O60" s="91"/>
      <c r="P60" s="90">
        <v>0</v>
      </c>
      <c r="Q60" s="87">
        <v>1</v>
      </c>
      <c r="R60" s="87">
        <v>0.1419</v>
      </c>
      <c r="S60" s="87">
        <v>0.12468000000000001</v>
      </c>
      <c r="T60" s="87">
        <v>0.19632000000000002</v>
      </c>
      <c r="U60" s="87">
        <v>5.5880000000000006E-2</v>
      </c>
      <c r="V60" s="193">
        <v>0</v>
      </c>
      <c r="W60" s="193">
        <v>0</v>
      </c>
      <c r="X60" s="193">
        <v>0</v>
      </c>
      <c r="Y60" s="193">
        <v>0</v>
      </c>
      <c r="Z60" s="193">
        <v>0</v>
      </c>
      <c r="AA60" s="193">
        <v>0</v>
      </c>
      <c r="AB60" s="193">
        <v>0</v>
      </c>
      <c r="AC60" s="193">
        <v>0</v>
      </c>
      <c r="AD60" s="193">
        <v>0</v>
      </c>
      <c r="AE60" s="193">
        <v>0</v>
      </c>
      <c r="AF60" s="193">
        <v>0</v>
      </c>
      <c r="AG60" s="193">
        <v>0</v>
      </c>
      <c r="AH60" s="193">
        <v>0</v>
      </c>
      <c r="AI60" s="193">
        <v>0</v>
      </c>
      <c r="AJ60" s="193">
        <v>0</v>
      </c>
      <c r="AL60" s="87">
        <f t="shared" si="24"/>
        <v>1</v>
      </c>
      <c r="AM60" s="87">
        <f t="shared" si="2"/>
        <v>0.1419</v>
      </c>
      <c r="AN60" s="87">
        <f t="shared" si="3"/>
        <v>0.12468000000000001</v>
      </c>
      <c r="AO60" s="87">
        <f t="shared" si="4"/>
        <v>0.19632000000000002</v>
      </c>
      <c r="AP60" s="87">
        <f t="shared" si="5"/>
        <v>5.5880000000000006E-2</v>
      </c>
      <c r="AQ60" s="87">
        <f t="shared" si="6"/>
        <v>0</v>
      </c>
      <c r="AR60" s="87">
        <f t="shared" si="7"/>
        <v>0</v>
      </c>
      <c r="AS60" s="87">
        <f t="shared" si="8"/>
        <v>0</v>
      </c>
      <c r="AT60" s="87">
        <f t="shared" si="9"/>
        <v>0</v>
      </c>
      <c r="AU60" s="87">
        <f t="shared" si="10"/>
        <v>0</v>
      </c>
      <c r="AV60" s="87">
        <f t="shared" si="11"/>
        <v>0</v>
      </c>
      <c r="AW60" s="87">
        <f t="shared" si="12"/>
        <v>0</v>
      </c>
      <c r="AX60" s="87">
        <f t="shared" si="13"/>
        <v>0</v>
      </c>
      <c r="AY60" s="87">
        <f t="shared" si="14"/>
        <v>0</v>
      </c>
      <c r="AZ60" s="87">
        <f t="shared" si="15"/>
        <v>0</v>
      </c>
      <c r="BA60" s="87">
        <f t="shared" si="16"/>
        <v>0</v>
      </c>
      <c r="BB60" s="87">
        <f t="shared" si="17"/>
        <v>0</v>
      </c>
      <c r="BC60" s="87">
        <f t="shared" si="18"/>
        <v>0</v>
      </c>
      <c r="BD60" s="87">
        <f t="shared" si="19"/>
        <v>0</v>
      </c>
      <c r="BE60" s="87">
        <f t="shared" si="20"/>
        <v>0</v>
      </c>
    </row>
    <row r="61" spans="1:57" s="90" customFormat="1" ht="15" customHeight="1" x14ac:dyDescent="0.25">
      <c r="A61" s="187" t="b">
        <v>1</v>
      </c>
      <c r="B61" s="188" t="b">
        <v>1</v>
      </c>
      <c r="C61" s="179" t="e">
        <f t="shared" si="0"/>
        <v>#N/A</v>
      </c>
      <c r="E61" s="180">
        <v>2032</v>
      </c>
      <c r="F61" s="100">
        <f t="shared" si="23"/>
        <v>49</v>
      </c>
      <c r="G61" s="181">
        <f t="shared" si="1"/>
        <v>21</v>
      </c>
      <c r="H61" s="181" t="e">
        <f t="shared" si="21"/>
        <v>#N/A</v>
      </c>
      <c r="J61" s="193">
        <v>0.1</v>
      </c>
      <c r="K61" s="101"/>
      <c r="L61" s="183" t="e">
        <f t="shared" si="22"/>
        <v>#N/A</v>
      </c>
      <c r="M61" s="88"/>
      <c r="N61" s="91"/>
      <c r="O61" s="91"/>
      <c r="P61" s="90">
        <v>0</v>
      </c>
      <c r="Q61" s="87">
        <v>1</v>
      </c>
      <c r="R61" s="87">
        <v>0.1419</v>
      </c>
      <c r="S61" s="87">
        <v>0.12468000000000001</v>
      </c>
      <c r="T61" s="87">
        <v>0.19632000000000002</v>
      </c>
      <c r="U61" s="87">
        <v>5.5880000000000006E-2</v>
      </c>
      <c r="V61" s="193">
        <v>0</v>
      </c>
      <c r="W61" s="193">
        <v>0</v>
      </c>
      <c r="X61" s="193">
        <v>0</v>
      </c>
      <c r="Y61" s="193">
        <v>0</v>
      </c>
      <c r="Z61" s="193">
        <v>0</v>
      </c>
      <c r="AA61" s="193">
        <v>0</v>
      </c>
      <c r="AB61" s="193">
        <v>0</v>
      </c>
      <c r="AC61" s="193">
        <v>0</v>
      </c>
      <c r="AD61" s="193">
        <v>0</v>
      </c>
      <c r="AE61" s="193">
        <v>0</v>
      </c>
      <c r="AF61" s="193">
        <v>0</v>
      </c>
      <c r="AG61" s="193">
        <v>0</v>
      </c>
      <c r="AH61" s="193">
        <v>0</v>
      </c>
      <c r="AI61" s="193">
        <v>0</v>
      </c>
      <c r="AJ61" s="193">
        <v>0</v>
      </c>
      <c r="AL61" s="87">
        <f t="shared" si="24"/>
        <v>1</v>
      </c>
      <c r="AM61" s="87">
        <f t="shared" si="2"/>
        <v>0.1419</v>
      </c>
      <c r="AN61" s="87">
        <f t="shared" si="3"/>
        <v>0.12468000000000001</v>
      </c>
      <c r="AO61" s="87">
        <f t="shared" si="4"/>
        <v>0.19632000000000002</v>
      </c>
      <c r="AP61" s="87">
        <f t="shared" si="5"/>
        <v>5.5880000000000006E-2</v>
      </c>
      <c r="AQ61" s="87">
        <f t="shared" si="6"/>
        <v>0</v>
      </c>
      <c r="AR61" s="87">
        <f t="shared" si="7"/>
        <v>0</v>
      </c>
      <c r="AS61" s="87">
        <f t="shared" si="8"/>
        <v>0</v>
      </c>
      <c r="AT61" s="87">
        <f t="shared" si="9"/>
        <v>0</v>
      </c>
      <c r="AU61" s="87">
        <f t="shared" si="10"/>
        <v>0</v>
      </c>
      <c r="AV61" s="87">
        <f t="shared" si="11"/>
        <v>0</v>
      </c>
      <c r="AW61" s="87">
        <f t="shared" si="12"/>
        <v>0</v>
      </c>
      <c r="AX61" s="87">
        <f t="shared" si="13"/>
        <v>0</v>
      </c>
      <c r="AY61" s="87">
        <f t="shared" si="14"/>
        <v>0</v>
      </c>
      <c r="AZ61" s="87">
        <f t="shared" si="15"/>
        <v>0</v>
      </c>
      <c r="BA61" s="87">
        <f t="shared" si="16"/>
        <v>0</v>
      </c>
      <c r="BB61" s="87">
        <f t="shared" si="17"/>
        <v>0</v>
      </c>
      <c r="BC61" s="87">
        <f t="shared" si="18"/>
        <v>0</v>
      </c>
      <c r="BD61" s="87">
        <f t="shared" si="19"/>
        <v>0</v>
      </c>
      <c r="BE61" s="87">
        <f t="shared" si="20"/>
        <v>0</v>
      </c>
    </row>
    <row r="62" spans="1:57" s="90" customFormat="1" ht="15" customHeight="1" x14ac:dyDescent="0.25">
      <c r="A62" s="187" t="b">
        <v>1</v>
      </c>
      <c r="B62" s="188" t="b">
        <v>1</v>
      </c>
      <c r="C62" s="179" t="e">
        <f t="shared" si="0"/>
        <v>#N/A</v>
      </c>
      <c r="E62" s="180">
        <v>2033</v>
      </c>
      <c r="F62" s="100">
        <f t="shared" si="23"/>
        <v>50</v>
      </c>
      <c r="G62" s="181">
        <f t="shared" si="1"/>
        <v>20</v>
      </c>
      <c r="H62" s="181" t="e">
        <f t="shared" si="21"/>
        <v>#N/A</v>
      </c>
      <c r="J62" s="193">
        <v>0.1</v>
      </c>
      <c r="K62" s="101"/>
      <c r="L62" s="183" t="e">
        <f t="shared" si="22"/>
        <v>#N/A</v>
      </c>
      <c r="M62" s="88"/>
      <c r="N62" s="91"/>
      <c r="O62" s="91"/>
      <c r="P62" s="90">
        <v>0</v>
      </c>
      <c r="Q62" s="87">
        <v>1</v>
      </c>
      <c r="R62" s="87">
        <v>0.1419</v>
      </c>
      <c r="S62" s="87">
        <v>0.12468000000000001</v>
      </c>
      <c r="T62" s="87">
        <v>0.19632000000000002</v>
      </c>
      <c r="U62" s="87">
        <v>5.5880000000000006E-2</v>
      </c>
      <c r="V62" s="193">
        <v>0</v>
      </c>
      <c r="W62" s="193">
        <v>0</v>
      </c>
      <c r="X62" s="193">
        <v>0</v>
      </c>
      <c r="Y62" s="193">
        <v>0</v>
      </c>
      <c r="Z62" s="193">
        <v>0</v>
      </c>
      <c r="AA62" s="193">
        <v>0</v>
      </c>
      <c r="AB62" s="193">
        <v>0</v>
      </c>
      <c r="AC62" s="193">
        <v>0</v>
      </c>
      <c r="AD62" s="193">
        <v>0</v>
      </c>
      <c r="AE62" s="193">
        <v>0</v>
      </c>
      <c r="AF62" s="193">
        <v>0</v>
      </c>
      <c r="AG62" s="193">
        <v>0</v>
      </c>
      <c r="AH62" s="193">
        <v>0</v>
      </c>
      <c r="AI62" s="193">
        <v>0</v>
      </c>
      <c r="AJ62" s="193">
        <v>0</v>
      </c>
      <c r="AL62" s="87">
        <f t="shared" si="24"/>
        <v>1</v>
      </c>
      <c r="AM62" s="87">
        <f t="shared" si="2"/>
        <v>0.1419</v>
      </c>
      <c r="AN62" s="87">
        <f t="shared" si="3"/>
        <v>0.12468000000000001</v>
      </c>
      <c r="AO62" s="87">
        <f t="shared" si="4"/>
        <v>0.19632000000000002</v>
      </c>
      <c r="AP62" s="87">
        <f t="shared" si="5"/>
        <v>5.5880000000000006E-2</v>
      </c>
      <c r="AQ62" s="87">
        <f t="shared" si="6"/>
        <v>0</v>
      </c>
      <c r="AR62" s="87">
        <f t="shared" si="7"/>
        <v>0</v>
      </c>
      <c r="AS62" s="87">
        <f t="shared" si="8"/>
        <v>0</v>
      </c>
      <c r="AT62" s="87">
        <f t="shared" si="9"/>
        <v>0</v>
      </c>
      <c r="AU62" s="87">
        <f t="shared" si="10"/>
        <v>0</v>
      </c>
      <c r="AV62" s="87">
        <f t="shared" si="11"/>
        <v>0</v>
      </c>
      <c r="AW62" s="87">
        <f t="shared" si="12"/>
        <v>0</v>
      </c>
      <c r="AX62" s="87">
        <f t="shared" si="13"/>
        <v>0</v>
      </c>
      <c r="AY62" s="87">
        <f t="shared" si="14"/>
        <v>0</v>
      </c>
      <c r="AZ62" s="87">
        <f t="shared" si="15"/>
        <v>0</v>
      </c>
      <c r="BA62" s="87">
        <f t="shared" si="16"/>
        <v>0</v>
      </c>
      <c r="BB62" s="87">
        <f t="shared" si="17"/>
        <v>0</v>
      </c>
      <c r="BC62" s="87">
        <f t="shared" si="18"/>
        <v>0</v>
      </c>
      <c r="BD62" s="87">
        <f t="shared" si="19"/>
        <v>0</v>
      </c>
      <c r="BE62" s="87">
        <f t="shared" si="20"/>
        <v>0</v>
      </c>
    </row>
    <row r="63" spans="1:57" s="90" customFormat="1" ht="15" customHeight="1" x14ac:dyDescent="0.25">
      <c r="A63" s="187" t="b">
        <v>1</v>
      </c>
      <c r="B63" s="188" t="b">
        <v>1</v>
      </c>
      <c r="C63" s="179" t="e">
        <f t="shared" si="0"/>
        <v>#N/A</v>
      </c>
      <c r="E63" s="180">
        <v>2034</v>
      </c>
      <c r="F63" s="100">
        <f t="shared" si="23"/>
        <v>51</v>
      </c>
      <c r="G63" s="181">
        <f t="shared" si="1"/>
        <v>19</v>
      </c>
      <c r="H63" s="181" t="e">
        <f t="shared" si="21"/>
        <v>#N/A</v>
      </c>
      <c r="J63" s="193">
        <v>0.1</v>
      </c>
      <c r="K63" s="101"/>
      <c r="L63" s="183" t="e">
        <f t="shared" si="22"/>
        <v>#N/A</v>
      </c>
      <c r="M63" s="88"/>
      <c r="N63" s="91"/>
      <c r="O63" s="91"/>
      <c r="P63" s="90">
        <v>0</v>
      </c>
      <c r="Q63" s="87">
        <v>1</v>
      </c>
      <c r="R63" s="87">
        <v>0.1419</v>
      </c>
      <c r="S63" s="87">
        <v>0.12468000000000001</v>
      </c>
      <c r="T63" s="87">
        <v>0.19632000000000002</v>
      </c>
      <c r="U63" s="87">
        <v>5.5880000000000006E-2</v>
      </c>
      <c r="V63" s="193">
        <v>0</v>
      </c>
      <c r="W63" s="193">
        <v>0</v>
      </c>
      <c r="X63" s="193">
        <v>0</v>
      </c>
      <c r="Y63" s="193">
        <v>0</v>
      </c>
      <c r="Z63" s="193">
        <v>0</v>
      </c>
      <c r="AA63" s="193">
        <v>0</v>
      </c>
      <c r="AB63" s="193">
        <v>0</v>
      </c>
      <c r="AC63" s="193">
        <v>0</v>
      </c>
      <c r="AD63" s="193">
        <v>0</v>
      </c>
      <c r="AE63" s="193">
        <v>0</v>
      </c>
      <c r="AF63" s="193">
        <v>0</v>
      </c>
      <c r="AG63" s="193">
        <v>0</v>
      </c>
      <c r="AH63" s="193">
        <v>0</v>
      </c>
      <c r="AI63" s="193">
        <v>0</v>
      </c>
      <c r="AJ63" s="193">
        <v>0</v>
      </c>
      <c r="AL63" s="87">
        <f t="shared" si="24"/>
        <v>1</v>
      </c>
      <c r="AM63" s="87">
        <f t="shared" si="2"/>
        <v>0.1419</v>
      </c>
      <c r="AN63" s="87">
        <f t="shared" si="3"/>
        <v>0.12468000000000001</v>
      </c>
      <c r="AO63" s="87">
        <f t="shared" si="4"/>
        <v>0.19632000000000002</v>
      </c>
      <c r="AP63" s="87">
        <f t="shared" si="5"/>
        <v>5.5880000000000006E-2</v>
      </c>
      <c r="AQ63" s="87">
        <f t="shared" si="6"/>
        <v>0</v>
      </c>
      <c r="AR63" s="87">
        <f t="shared" si="7"/>
        <v>0</v>
      </c>
      <c r="AS63" s="87">
        <f t="shared" si="8"/>
        <v>0</v>
      </c>
      <c r="AT63" s="87">
        <f t="shared" si="9"/>
        <v>0</v>
      </c>
      <c r="AU63" s="87">
        <f t="shared" si="10"/>
        <v>0</v>
      </c>
      <c r="AV63" s="87">
        <f t="shared" si="11"/>
        <v>0</v>
      </c>
      <c r="AW63" s="87">
        <f t="shared" si="12"/>
        <v>0</v>
      </c>
      <c r="AX63" s="87">
        <f t="shared" si="13"/>
        <v>0</v>
      </c>
      <c r="AY63" s="87">
        <f t="shared" si="14"/>
        <v>0</v>
      </c>
      <c r="AZ63" s="87">
        <f t="shared" si="15"/>
        <v>0</v>
      </c>
      <c r="BA63" s="87">
        <f t="shared" si="16"/>
        <v>0</v>
      </c>
      <c r="BB63" s="87">
        <f t="shared" si="17"/>
        <v>0</v>
      </c>
      <c r="BC63" s="87">
        <f t="shared" si="18"/>
        <v>0</v>
      </c>
      <c r="BD63" s="87">
        <f t="shared" si="19"/>
        <v>0</v>
      </c>
      <c r="BE63" s="87">
        <f t="shared" si="20"/>
        <v>0</v>
      </c>
    </row>
    <row r="64" spans="1:57" s="90" customFormat="1" ht="15" customHeight="1" x14ac:dyDescent="0.25">
      <c r="A64" s="187" t="b">
        <v>1</v>
      </c>
      <c r="B64" s="188" t="b">
        <v>1</v>
      </c>
      <c r="C64" s="179" t="e">
        <f t="shared" si="0"/>
        <v>#N/A</v>
      </c>
      <c r="E64" s="180">
        <v>2035</v>
      </c>
      <c r="F64" s="100">
        <f t="shared" si="23"/>
        <v>52</v>
      </c>
      <c r="G64" s="181">
        <f t="shared" si="1"/>
        <v>18</v>
      </c>
      <c r="H64" s="181" t="e">
        <f t="shared" si="21"/>
        <v>#N/A</v>
      </c>
      <c r="J64" s="193">
        <v>0.1</v>
      </c>
      <c r="K64" s="101"/>
      <c r="L64" s="183" t="e">
        <f t="shared" si="22"/>
        <v>#N/A</v>
      </c>
      <c r="M64" s="88"/>
      <c r="N64" s="91"/>
      <c r="O64" s="91"/>
      <c r="P64" s="90">
        <v>0</v>
      </c>
      <c r="Q64" s="87">
        <v>1</v>
      </c>
      <c r="R64" s="87">
        <v>0.1419</v>
      </c>
      <c r="S64" s="87">
        <v>0.12468000000000001</v>
      </c>
      <c r="T64" s="87">
        <v>0.19632000000000002</v>
      </c>
      <c r="U64" s="87">
        <v>5.5880000000000006E-2</v>
      </c>
      <c r="V64" s="193">
        <v>0</v>
      </c>
      <c r="W64" s="193">
        <v>0</v>
      </c>
      <c r="X64" s="193">
        <v>0</v>
      </c>
      <c r="Y64" s="193">
        <v>0</v>
      </c>
      <c r="Z64" s="193">
        <v>0</v>
      </c>
      <c r="AA64" s="193">
        <v>0</v>
      </c>
      <c r="AB64" s="193">
        <v>0</v>
      </c>
      <c r="AC64" s="193">
        <v>0</v>
      </c>
      <c r="AD64" s="193">
        <v>0</v>
      </c>
      <c r="AE64" s="193">
        <v>0</v>
      </c>
      <c r="AF64" s="193">
        <v>0</v>
      </c>
      <c r="AG64" s="193">
        <v>0</v>
      </c>
      <c r="AH64" s="193">
        <v>0</v>
      </c>
      <c r="AI64" s="193">
        <v>0</v>
      </c>
      <c r="AJ64" s="193">
        <v>0</v>
      </c>
      <c r="AL64" s="87">
        <f t="shared" si="24"/>
        <v>1</v>
      </c>
      <c r="AM64" s="87">
        <f t="shared" si="2"/>
        <v>0.1419</v>
      </c>
      <c r="AN64" s="87">
        <f t="shared" si="3"/>
        <v>0.12468000000000001</v>
      </c>
      <c r="AO64" s="87">
        <f t="shared" si="4"/>
        <v>0.19632000000000002</v>
      </c>
      <c r="AP64" s="87">
        <f t="shared" si="5"/>
        <v>5.5880000000000006E-2</v>
      </c>
      <c r="AQ64" s="87">
        <f t="shared" si="6"/>
        <v>0</v>
      </c>
      <c r="AR64" s="87">
        <f t="shared" si="7"/>
        <v>0</v>
      </c>
      <c r="AS64" s="87">
        <f t="shared" si="8"/>
        <v>0</v>
      </c>
      <c r="AT64" s="87">
        <f t="shared" si="9"/>
        <v>0</v>
      </c>
      <c r="AU64" s="87">
        <f t="shared" si="10"/>
        <v>0</v>
      </c>
      <c r="AV64" s="87">
        <f t="shared" si="11"/>
        <v>0</v>
      </c>
      <c r="AW64" s="87">
        <f t="shared" si="12"/>
        <v>0</v>
      </c>
      <c r="AX64" s="87">
        <f t="shared" si="13"/>
        <v>0</v>
      </c>
      <c r="AY64" s="87">
        <f t="shared" si="14"/>
        <v>0</v>
      </c>
      <c r="AZ64" s="87">
        <f t="shared" si="15"/>
        <v>0</v>
      </c>
      <c r="BA64" s="87">
        <f t="shared" si="16"/>
        <v>0</v>
      </c>
      <c r="BB64" s="87">
        <f t="shared" si="17"/>
        <v>0</v>
      </c>
      <c r="BC64" s="87">
        <f t="shared" si="18"/>
        <v>0</v>
      </c>
      <c r="BD64" s="87">
        <f t="shared" si="19"/>
        <v>0</v>
      </c>
      <c r="BE64" s="87">
        <f t="shared" si="20"/>
        <v>0</v>
      </c>
    </row>
    <row r="65" spans="1:57" s="90" customFormat="1" ht="15" customHeight="1" x14ac:dyDescent="0.25">
      <c r="A65" s="187" t="b">
        <v>1</v>
      </c>
      <c r="B65" s="188" t="b">
        <v>1</v>
      </c>
      <c r="C65" s="179" t="e">
        <f t="shared" si="0"/>
        <v>#N/A</v>
      </c>
      <c r="E65" s="180">
        <v>2036</v>
      </c>
      <c r="F65" s="100">
        <f t="shared" si="23"/>
        <v>53</v>
      </c>
      <c r="G65" s="181">
        <f t="shared" si="1"/>
        <v>17</v>
      </c>
      <c r="H65" s="181" t="e">
        <f t="shared" si="21"/>
        <v>#N/A</v>
      </c>
      <c r="J65" s="193">
        <v>0.1</v>
      </c>
      <c r="K65" s="101"/>
      <c r="L65" s="183" t="e">
        <f t="shared" si="22"/>
        <v>#N/A</v>
      </c>
      <c r="M65" s="88"/>
      <c r="N65" s="91"/>
      <c r="O65" s="91"/>
      <c r="P65" s="90">
        <v>0</v>
      </c>
      <c r="Q65" s="87">
        <v>1</v>
      </c>
      <c r="R65" s="87">
        <v>0.1419</v>
      </c>
      <c r="S65" s="87">
        <v>0.12468000000000001</v>
      </c>
      <c r="T65" s="87">
        <v>0.19632000000000002</v>
      </c>
      <c r="U65" s="87">
        <v>5.5880000000000006E-2</v>
      </c>
      <c r="V65" s="193">
        <v>0</v>
      </c>
      <c r="W65" s="193">
        <v>0</v>
      </c>
      <c r="X65" s="193">
        <v>0</v>
      </c>
      <c r="Y65" s="193">
        <v>0</v>
      </c>
      <c r="Z65" s="193">
        <v>0</v>
      </c>
      <c r="AA65" s="193">
        <v>0</v>
      </c>
      <c r="AB65" s="193">
        <v>0</v>
      </c>
      <c r="AC65" s="193">
        <v>0</v>
      </c>
      <c r="AD65" s="193">
        <v>0</v>
      </c>
      <c r="AE65" s="193">
        <v>0</v>
      </c>
      <c r="AF65" s="193">
        <v>0</v>
      </c>
      <c r="AG65" s="193">
        <v>0</v>
      </c>
      <c r="AH65" s="193">
        <v>0</v>
      </c>
      <c r="AI65" s="193">
        <v>0</v>
      </c>
      <c r="AJ65" s="193">
        <v>0</v>
      </c>
      <c r="AL65" s="87">
        <f t="shared" si="24"/>
        <v>1</v>
      </c>
      <c r="AM65" s="87">
        <f t="shared" si="2"/>
        <v>0.1419</v>
      </c>
      <c r="AN65" s="87">
        <f t="shared" si="3"/>
        <v>0.12468000000000001</v>
      </c>
      <c r="AO65" s="87">
        <f t="shared" si="4"/>
        <v>0.19632000000000002</v>
      </c>
      <c r="AP65" s="87">
        <f t="shared" si="5"/>
        <v>5.5880000000000006E-2</v>
      </c>
      <c r="AQ65" s="87">
        <f t="shared" si="6"/>
        <v>0</v>
      </c>
      <c r="AR65" s="87">
        <f t="shared" si="7"/>
        <v>0</v>
      </c>
      <c r="AS65" s="87">
        <f t="shared" si="8"/>
        <v>0</v>
      </c>
      <c r="AT65" s="87">
        <f t="shared" si="9"/>
        <v>0</v>
      </c>
      <c r="AU65" s="87">
        <f t="shared" si="10"/>
        <v>0</v>
      </c>
      <c r="AV65" s="87">
        <f t="shared" si="11"/>
        <v>0</v>
      </c>
      <c r="AW65" s="87">
        <f t="shared" si="12"/>
        <v>0</v>
      </c>
      <c r="AX65" s="87">
        <f t="shared" si="13"/>
        <v>0</v>
      </c>
      <c r="AY65" s="87">
        <f t="shared" si="14"/>
        <v>0</v>
      </c>
      <c r="AZ65" s="87">
        <f t="shared" si="15"/>
        <v>0</v>
      </c>
      <c r="BA65" s="87">
        <f t="shared" si="16"/>
        <v>0</v>
      </c>
      <c r="BB65" s="87">
        <f t="shared" si="17"/>
        <v>0</v>
      </c>
      <c r="BC65" s="87">
        <f t="shared" si="18"/>
        <v>0</v>
      </c>
      <c r="BD65" s="87">
        <f t="shared" si="19"/>
        <v>0</v>
      </c>
      <c r="BE65" s="87">
        <f t="shared" si="20"/>
        <v>0</v>
      </c>
    </row>
    <row r="66" spans="1:57" s="90" customFormat="1" ht="15" customHeight="1" x14ac:dyDescent="0.25">
      <c r="A66" s="187" t="b">
        <v>1</v>
      </c>
      <c r="B66" s="188" t="b">
        <v>1</v>
      </c>
      <c r="C66" s="179" t="e">
        <f t="shared" si="0"/>
        <v>#N/A</v>
      </c>
      <c r="E66" s="180">
        <v>2037</v>
      </c>
      <c r="F66" s="100">
        <f t="shared" si="23"/>
        <v>54</v>
      </c>
      <c r="G66" s="181">
        <f t="shared" si="1"/>
        <v>16</v>
      </c>
      <c r="H66" s="181" t="e">
        <f t="shared" si="21"/>
        <v>#N/A</v>
      </c>
      <c r="J66" s="193">
        <v>0.1</v>
      </c>
      <c r="K66" s="101"/>
      <c r="L66" s="183" t="e">
        <f t="shared" si="22"/>
        <v>#N/A</v>
      </c>
      <c r="M66" s="88"/>
      <c r="N66" s="91"/>
      <c r="O66" s="91"/>
      <c r="P66" s="90">
        <v>0</v>
      </c>
      <c r="Q66" s="87">
        <v>1</v>
      </c>
      <c r="R66" s="87">
        <v>0.1419</v>
      </c>
      <c r="S66" s="87">
        <v>0.12468000000000001</v>
      </c>
      <c r="T66" s="87">
        <v>0.19632000000000002</v>
      </c>
      <c r="U66" s="87">
        <v>5.5880000000000006E-2</v>
      </c>
      <c r="V66" s="193">
        <v>0</v>
      </c>
      <c r="W66" s="193">
        <v>0</v>
      </c>
      <c r="X66" s="193">
        <v>0</v>
      </c>
      <c r="Y66" s="193">
        <v>0</v>
      </c>
      <c r="Z66" s="193">
        <v>0</v>
      </c>
      <c r="AA66" s="193">
        <v>0</v>
      </c>
      <c r="AB66" s="193">
        <v>0</v>
      </c>
      <c r="AC66" s="193">
        <v>0</v>
      </c>
      <c r="AD66" s="193">
        <v>0</v>
      </c>
      <c r="AE66" s="193">
        <v>0</v>
      </c>
      <c r="AF66" s="193">
        <v>0</v>
      </c>
      <c r="AG66" s="193">
        <v>0</v>
      </c>
      <c r="AH66" s="193">
        <v>0</v>
      </c>
      <c r="AI66" s="193">
        <v>0</v>
      </c>
      <c r="AJ66" s="193">
        <v>0</v>
      </c>
      <c r="AL66" s="87">
        <f t="shared" si="24"/>
        <v>1</v>
      </c>
      <c r="AM66" s="87">
        <f t="shared" si="2"/>
        <v>0.1419</v>
      </c>
      <c r="AN66" s="87">
        <f t="shared" si="3"/>
        <v>0.12468000000000001</v>
      </c>
      <c r="AO66" s="87">
        <f t="shared" si="4"/>
        <v>0.19632000000000002</v>
      </c>
      <c r="AP66" s="87">
        <f t="shared" si="5"/>
        <v>5.5880000000000006E-2</v>
      </c>
      <c r="AQ66" s="87">
        <f t="shared" si="6"/>
        <v>0</v>
      </c>
      <c r="AR66" s="87">
        <f t="shared" si="7"/>
        <v>0</v>
      </c>
      <c r="AS66" s="87">
        <f t="shared" si="8"/>
        <v>0</v>
      </c>
      <c r="AT66" s="87">
        <f t="shared" si="9"/>
        <v>0</v>
      </c>
      <c r="AU66" s="87">
        <f t="shared" si="10"/>
        <v>0</v>
      </c>
      <c r="AV66" s="87">
        <f t="shared" si="11"/>
        <v>0</v>
      </c>
      <c r="AW66" s="87">
        <f t="shared" si="12"/>
        <v>0</v>
      </c>
      <c r="AX66" s="87">
        <f t="shared" si="13"/>
        <v>0</v>
      </c>
      <c r="AY66" s="87">
        <f t="shared" si="14"/>
        <v>0</v>
      </c>
      <c r="AZ66" s="87">
        <f t="shared" si="15"/>
        <v>0</v>
      </c>
      <c r="BA66" s="87">
        <f t="shared" si="16"/>
        <v>0</v>
      </c>
      <c r="BB66" s="87">
        <f t="shared" si="17"/>
        <v>0</v>
      </c>
      <c r="BC66" s="87">
        <f t="shared" si="18"/>
        <v>0</v>
      </c>
      <c r="BD66" s="87">
        <f t="shared" si="19"/>
        <v>0</v>
      </c>
      <c r="BE66" s="87">
        <f t="shared" si="20"/>
        <v>0</v>
      </c>
    </row>
    <row r="67" spans="1:57" s="90" customFormat="1" ht="15" customHeight="1" x14ac:dyDescent="0.25">
      <c r="A67" s="187" t="b">
        <v>1</v>
      </c>
      <c r="B67" s="188" t="b">
        <v>1</v>
      </c>
      <c r="C67" s="179" t="e">
        <f t="shared" si="0"/>
        <v>#N/A</v>
      </c>
      <c r="E67" s="180">
        <v>2038</v>
      </c>
      <c r="F67" s="100">
        <f t="shared" si="23"/>
        <v>55</v>
      </c>
      <c r="G67" s="181">
        <f t="shared" si="1"/>
        <v>15</v>
      </c>
      <c r="H67" s="181" t="e">
        <f t="shared" si="21"/>
        <v>#N/A</v>
      </c>
      <c r="J67" s="193">
        <v>0.1</v>
      </c>
      <c r="K67" s="101"/>
      <c r="L67" s="183" t="e">
        <f t="shared" si="22"/>
        <v>#N/A</v>
      </c>
      <c r="M67" s="88"/>
      <c r="N67" s="91"/>
      <c r="O67" s="91"/>
      <c r="P67" s="90">
        <v>0</v>
      </c>
      <c r="Q67" s="87">
        <v>1</v>
      </c>
      <c r="R67" s="87">
        <v>0.1419</v>
      </c>
      <c r="S67" s="87">
        <v>0.12468000000000001</v>
      </c>
      <c r="T67" s="87">
        <v>0.19632000000000002</v>
      </c>
      <c r="U67" s="87">
        <v>5.5880000000000006E-2</v>
      </c>
      <c r="V67" s="193">
        <v>0</v>
      </c>
      <c r="W67" s="193">
        <v>0</v>
      </c>
      <c r="X67" s="193">
        <v>0</v>
      </c>
      <c r="Y67" s="193">
        <v>0</v>
      </c>
      <c r="Z67" s="193">
        <v>0</v>
      </c>
      <c r="AA67" s="193">
        <v>0</v>
      </c>
      <c r="AB67" s="193">
        <v>0</v>
      </c>
      <c r="AC67" s="193">
        <v>0</v>
      </c>
      <c r="AD67" s="193">
        <v>0</v>
      </c>
      <c r="AE67" s="193">
        <v>0</v>
      </c>
      <c r="AF67" s="193">
        <v>0</v>
      </c>
      <c r="AG67" s="193">
        <v>0</v>
      </c>
      <c r="AH67" s="193">
        <v>0</v>
      </c>
      <c r="AI67" s="193">
        <v>0</v>
      </c>
      <c r="AJ67" s="193">
        <v>0</v>
      </c>
      <c r="AL67" s="87">
        <f t="shared" si="24"/>
        <v>1</v>
      </c>
      <c r="AM67" s="87">
        <f t="shared" si="2"/>
        <v>0.1419</v>
      </c>
      <c r="AN67" s="87">
        <f t="shared" si="3"/>
        <v>0.12468000000000001</v>
      </c>
      <c r="AO67" s="87">
        <f t="shared" si="4"/>
        <v>0.19632000000000002</v>
      </c>
      <c r="AP67" s="87">
        <f t="shared" si="5"/>
        <v>5.5880000000000006E-2</v>
      </c>
      <c r="AQ67" s="87">
        <f t="shared" si="6"/>
        <v>0</v>
      </c>
      <c r="AR67" s="87">
        <f t="shared" si="7"/>
        <v>0</v>
      </c>
      <c r="AS67" s="87">
        <f t="shared" si="8"/>
        <v>0</v>
      </c>
      <c r="AT67" s="87">
        <f t="shared" si="9"/>
        <v>0</v>
      </c>
      <c r="AU67" s="87">
        <f t="shared" si="10"/>
        <v>0</v>
      </c>
      <c r="AV67" s="87">
        <f t="shared" si="11"/>
        <v>0</v>
      </c>
      <c r="AW67" s="87">
        <f t="shared" si="12"/>
        <v>0</v>
      </c>
      <c r="AX67" s="87">
        <f t="shared" si="13"/>
        <v>0</v>
      </c>
      <c r="AY67" s="87">
        <f t="shared" si="14"/>
        <v>0</v>
      </c>
      <c r="AZ67" s="87">
        <f t="shared" si="15"/>
        <v>0</v>
      </c>
      <c r="BA67" s="87">
        <f t="shared" si="16"/>
        <v>0</v>
      </c>
      <c r="BB67" s="87">
        <f t="shared" si="17"/>
        <v>0</v>
      </c>
      <c r="BC67" s="87">
        <f t="shared" si="18"/>
        <v>0</v>
      </c>
      <c r="BD67" s="87">
        <f t="shared" si="19"/>
        <v>0</v>
      </c>
      <c r="BE67" s="87">
        <f t="shared" si="20"/>
        <v>0</v>
      </c>
    </row>
    <row r="68" spans="1:57" s="90" customFormat="1" ht="15" customHeight="1" x14ac:dyDescent="0.25">
      <c r="A68" s="187" t="b">
        <v>1</v>
      </c>
      <c r="B68" s="188" t="b">
        <v>1</v>
      </c>
      <c r="C68" s="179" t="e">
        <f t="shared" si="0"/>
        <v>#N/A</v>
      </c>
      <c r="E68" s="180">
        <v>2039</v>
      </c>
      <c r="F68" s="100">
        <f t="shared" si="23"/>
        <v>56</v>
      </c>
      <c r="G68" s="181">
        <f t="shared" si="1"/>
        <v>14</v>
      </c>
      <c r="H68" s="181" t="e">
        <f t="shared" si="21"/>
        <v>#N/A</v>
      </c>
      <c r="J68" s="193">
        <v>0.1</v>
      </c>
      <c r="K68" s="101"/>
      <c r="L68" s="183" t="e">
        <f t="shared" si="22"/>
        <v>#N/A</v>
      </c>
      <c r="M68" s="88"/>
      <c r="N68" s="91"/>
      <c r="O68" s="91"/>
      <c r="P68" s="90">
        <v>0</v>
      </c>
      <c r="Q68" s="87">
        <v>1</v>
      </c>
      <c r="R68" s="87">
        <v>0.1419</v>
      </c>
      <c r="S68" s="87">
        <v>0.12468000000000001</v>
      </c>
      <c r="T68" s="87">
        <v>0.19632000000000002</v>
      </c>
      <c r="U68" s="87">
        <v>5.5880000000000006E-2</v>
      </c>
      <c r="V68" s="193">
        <v>0</v>
      </c>
      <c r="W68" s="193">
        <v>0</v>
      </c>
      <c r="X68" s="193">
        <v>0</v>
      </c>
      <c r="Y68" s="193">
        <v>0</v>
      </c>
      <c r="Z68" s="193">
        <v>0</v>
      </c>
      <c r="AA68" s="193">
        <v>0</v>
      </c>
      <c r="AB68" s="193">
        <v>0</v>
      </c>
      <c r="AC68" s="193">
        <v>0</v>
      </c>
      <c r="AD68" s="193">
        <v>0</v>
      </c>
      <c r="AE68" s="193">
        <v>0</v>
      </c>
      <c r="AF68" s="193">
        <v>0</v>
      </c>
      <c r="AG68" s="193">
        <v>0</v>
      </c>
      <c r="AH68" s="193">
        <v>0</v>
      </c>
      <c r="AI68" s="193">
        <v>0</v>
      </c>
      <c r="AJ68" s="193">
        <v>0</v>
      </c>
      <c r="AL68" s="87">
        <f t="shared" si="24"/>
        <v>1</v>
      </c>
      <c r="AM68" s="87">
        <f t="shared" si="2"/>
        <v>0.1419</v>
      </c>
      <c r="AN68" s="87">
        <f t="shared" si="3"/>
        <v>0.12468000000000001</v>
      </c>
      <c r="AO68" s="87">
        <f t="shared" si="4"/>
        <v>0.19632000000000002</v>
      </c>
      <c r="AP68" s="87">
        <f t="shared" si="5"/>
        <v>5.5880000000000006E-2</v>
      </c>
      <c r="AQ68" s="87">
        <f t="shared" si="6"/>
        <v>0</v>
      </c>
      <c r="AR68" s="87">
        <f t="shared" si="7"/>
        <v>0</v>
      </c>
      <c r="AS68" s="87">
        <f t="shared" si="8"/>
        <v>0</v>
      </c>
      <c r="AT68" s="87">
        <f t="shared" si="9"/>
        <v>0</v>
      </c>
      <c r="AU68" s="87">
        <f t="shared" si="10"/>
        <v>0</v>
      </c>
      <c r="AV68" s="87">
        <f t="shared" si="11"/>
        <v>0</v>
      </c>
      <c r="AW68" s="87">
        <f t="shared" si="12"/>
        <v>0</v>
      </c>
      <c r="AX68" s="87">
        <f t="shared" si="13"/>
        <v>0</v>
      </c>
      <c r="AY68" s="87">
        <f t="shared" si="14"/>
        <v>0</v>
      </c>
      <c r="AZ68" s="87">
        <f t="shared" si="15"/>
        <v>0</v>
      </c>
      <c r="BA68" s="87">
        <f t="shared" si="16"/>
        <v>0</v>
      </c>
      <c r="BB68" s="87">
        <f t="shared" si="17"/>
        <v>0</v>
      </c>
      <c r="BC68" s="87">
        <f t="shared" si="18"/>
        <v>0</v>
      </c>
      <c r="BD68" s="87">
        <f t="shared" si="19"/>
        <v>0</v>
      </c>
      <c r="BE68" s="87">
        <f t="shared" si="20"/>
        <v>0</v>
      </c>
    </row>
    <row r="69" spans="1:57" s="90" customFormat="1" ht="15" customHeight="1" x14ac:dyDescent="0.25">
      <c r="A69" s="187" t="b">
        <v>1</v>
      </c>
      <c r="B69" s="188" t="b">
        <v>1</v>
      </c>
      <c r="C69" s="179" t="e">
        <f t="shared" si="0"/>
        <v>#N/A</v>
      </c>
      <c r="E69" s="180">
        <v>2040</v>
      </c>
      <c r="F69" s="100">
        <f t="shared" si="23"/>
        <v>57</v>
      </c>
      <c r="G69" s="181">
        <f t="shared" si="1"/>
        <v>13</v>
      </c>
      <c r="H69" s="181" t="e">
        <f t="shared" si="21"/>
        <v>#N/A</v>
      </c>
      <c r="J69" s="193">
        <v>0.1</v>
      </c>
      <c r="K69" s="101"/>
      <c r="L69" s="183" t="e">
        <f t="shared" si="22"/>
        <v>#N/A</v>
      </c>
      <c r="M69" s="88"/>
      <c r="N69" s="91"/>
      <c r="O69" s="91"/>
      <c r="P69" s="90">
        <v>0</v>
      </c>
      <c r="Q69" s="87">
        <v>1</v>
      </c>
      <c r="R69" s="87">
        <v>0.1419</v>
      </c>
      <c r="S69" s="87">
        <v>0.12468000000000001</v>
      </c>
      <c r="T69" s="87">
        <v>0.19632000000000002</v>
      </c>
      <c r="U69" s="87">
        <v>5.5880000000000006E-2</v>
      </c>
      <c r="V69" s="193">
        <v>0</v>
      </c>
      <c r="W69" s="193">
        <v>0</v>
      </c>
      <c r="X69" s="193">
        <v>0</v>
      </c>
      <c r="Y69" s="193">
        <v>0</v>
      </c>
      <c r="Z69" s="193">
        <v>0</v>
      </c>
      <c r="AA69" s="193">
        <v>0</v>
      </c>
      <c r="AB69" s="193">
        <v>0</v>
      </c>
      <c r="AC69" s="193">
        <v>0</v>
      </c>
      <c r="AD69" s="193">
        <v>0</v>
      </c>
      <c r="AE69" s="193">
        <v>0</v>
      </c>
      <c r="AF69" s="193">
        <v>0</v>
      </c>
      <c r="AG69" s="193">
        <v>0</v>
      </c>
      <c r="AH69" s="193">
        <v>0</v>
      </c>
      <c r="AI69" s="193">
        <v>0</v>
      </c>
      <c r="AJ69" s="193">
        <v>0</v>
      </c>
      <c r="AL69" s="87">
        <f t="shared" si="24"/>
        <v>1</v>
      </c>
      <c r="AM69" s="87">
        <f t="shared" si="2"/>
        <v>0.1419</v>
      </c>
      <c r="AN69" s="87">
        <f t="shared" si="3"/>
        <v>0.12468000000000001</v>
      </c>
      <c r="AO69" s="87">
        <f t="shared" si="4"/>
        <v>0.19632000000000002</v>
      </c>
      <c r="AP69" s="87">
        <f t="shared" si="5"/>
        <v>5.5880000000000006E-2</v>
      </c>
      <c r="AQ69" s="87">
        <f t="shared" si="6"/>
        <v>0</v>
      </c>
      <c r="AR69" s="87">
        <f t="shared" si="7"/>
        <v>0</v>
      </c>
      <c r="AS69" s="87">
        <f t="shared" si="8"/>
        <v>0</v>
      </c>
      <c r="AT69" s="87">
        <f t="shared" si="9"/>
        <v>0</v>
      </c>
      <c r="AU69" s="87">
        <f t="shared" si="10"/>
        <v>0</v>
      </c>
      <c r="AV69" s="87">
        <f t="shared" si="11"/>
        <v>0</v>
      </c>
      <c r="AW69" s="87">
        <f t="shared" si="12"/>
        <v>0</v>
      </c>
      <c r="AX69" s="87">
        <f t="shared" si="13"/>
        <v>0</v>
      </c>
      <c r="AY69" s="87">
        <f t="shared" si="14"/>
        <v>0</v>
      </c>
      <c r="AZ69" s="87">
        <f t="shared" si="15"/>
        <v>0</v>
      </c>
      <c r="BA69" s="87">
        <f t="shared" si="16"/>
        <v>0</v>
      </c>
      <c r="BB69" s="87">
        <f t="shared" si="17"/>
        <v>0</v>
      </c>
      <c r="BC69" s="87">
        <f t="shared" si="18"/>
        <v>0</v>
      </c>
      <c r="BD69" s="87">
        <f t="shared" si="19"/>
        <v>0</v>
      </c>
      <c r="BE69" s="87">
        <f t="shared" si="20"/>
        <v>0</v>
      </c>
    </row>
    <row r="70" spans="1:57" s="90" customFormat="1" ht="15" customHeight="1" x14ac:dyDescent="0.25">
      <c r="A70" s="187" t="b">
        <v>1</v>
      </c>
      <c r="B70" s="188" t="b">
        <v>1</v>
      </c>
      <c r="C70" s="179" t="e">
        <f t="shared" si="0"/>
        <v>#N/A</v>
      </c>
      <c r="E70" s="180">
        <v>2041</v>
      </c>
      <c r="F70" s="100">
        <f t="shared" si="23"/>
        <v>58</v>
      </c>
      <c r="G70" s="181">
        <f t="shared" si="1"/>
        <v>12</v>
      </c>
      <c r="H70" s="181" t="e">
        <f t="shared" si="21"/>
        <v>#N/A</v>
      </c>
      <c r="J70" s="193">
        <v>0.1</v>
      </c>
      <c r="K70" s="101"/>
      <c r="L70" s="183" t="e">
        <f t="shared" si="22"/>
        <v>#N/A</v>
      </c>
      <c r="M70" s="88"/>
      <c r="N70" s="91"/>
      <c r="O70" s="91"/>
      <c r="P70" s="90">
        <v>0</v>
      </c>
      <c r="Q70" s="87">
        <v>1</v>
      </c>
      <c r="R70" s="87">
        <v>0.1419</v>
      </c>
      <c r="S70" s="87">
        <v>0.12468000000000001</v>
      </c>
      <c r="T70" s="87">
        <v>0.19632000000000002</v>
      </c>
      <c r="U70" s="87">
        <v>5.5880000000000006E-2</v>
      </c>
      <c r="V70" s="193">
        <v>0</v>
      </c>
      <c r="W70" s="193">
        <v>0</v>
      </c>
      <c r="X70" s="193">
        <v>0</v>
      </c>
      <c r="Y70" s="193">
        <v>0</v>
      </c>
      <c r="Z70" s="193">
        <v>0</v>
      </c>
      <c r="AA70" s="193">
        <v>0</v>
      </c>
      <c r="AB70" s="193">
        <v>0</v>
      </c>
      <c r="AC70" s="193">
        <v>0</v>
      </c>
      <c r="AD70" s="193">
        <v>0</v>
      </c>
      <c r="AE70" s="193">
        <v>0</v>
      </c>
      <c r="AF70" s="193">
        <v>0</v>
      </c>
      <c r="AG70" s="193">
        <v>0</v>
      </c>
      <c r="AH70" s="193">
        <v>0</v>
      </c>
      <c r="AI70" s="193">
        <v>0</v>
      </c>
      <c r="AJ70" s="193">
        <v>0</v>
      </c>
      <c r="AL70" s="87">
        <f t="shared" si="24"/>
        <v>1</v>
      </c>
      <c r="AM70" s="87">
        <f t="shared" si="2"/>
        <v>0.1419</v>
      </c>
      <c r="AN70" s="87">
        <f t="shared" si="3"/>
        <v>0.12468000000000001</v>
      </c>
      <c r="AO70" s="87">
        <f t="shared" si="4"/>
        <v>0.19632000000000002</v>
      </c>
      <c r="AP70" s="87">
        <f t="shared" si="5"/>
        <v>5.5880000000000006E-2</v>
      </c>
      <c r="AQ70" s="87">
        <f t="shared" si="6"/>
        <v>0</v>
      </c>
      <c r="AR70" s="87">
        <f t="shared" si="7"/>
        <v>0</v>
      </c>
      <c r="AS70" s="87">
        <f t="shared" si="8"/>
        <v>0</v>
      </c>
      <c r="AT70" s="87">
        <f t="shared" si="9"/>
        <v>0</v>
      </c>
      <c r="AU70" s="87">
        <f t="shared" si="10"/>
        <v>0</v>
      </c>
      <c r="AV70" s="87">
        <f t="shared" si="11"/>
        <v>0</v>
      </c>
      <c r="AW70" s="87">
        <f t="shared" si="12"/>
        <v>0</v>
      </c>
      <c r="AX70" s="87">
        <f t="shared" si="13"/>
        <v>0</v>
      </c>
      <c r="AY70" s="87">
        <f t="shared" si="14"/>
        <v>0</v>
      </c>
      <c r="AZ70" s="87">
        <f t="shared" si="15"/>
        <v>0</v>
      </c>
      <c r="BA70" s="87">
        <f t="shared" si="16"/>
        <v>0</v>
      </c>
      <c r="BB70" s="87">
        <f t="shared" si="17"/>
        <v>0</v>
      </c>
      <c r="BC70" s="87">
        <f t="shared" si="18"/>
        <v>0</v>
      </c>
      <c r="BD70" s="87">
        <f t="shared" si="19"/>
        <v>0</v>
      </c>
      <c r="BE70" s="87">
        <f t="shared" si="20"/>
        <v>0</v>
      </c>
    </row>
    <row r="71" spans="1:57" s="90" customFormat="1" ht="15" customHeight="1" x14ac:dyDescent="0.25">
      <c r="A71" s="187" t="b">
        <v>1</v>
      </c>
      <c r="B71" s="188" t="b">
        <v>1</v>
      </c>
      <c r="C71" s="179" t="e">
        <f t="shared" si="0"/>
        <v>#N/A</v>
      </c>
      <c r="E71" s="180">
        <v>2042</v>
      </c>
      <c r="F71" s="100">
        <f t="shared" si="23"/>
        <v>59</v>
      </c>
      <c r="G71" s="181">
        <f t="shared" si="1"/>
        <v>11</v>
      </c>
      <c r="H71" s="181" t="e">
        <f t="shared" si="21"/>
        <v>#N/A</v>
      </c>
      <c r="J71" s="193">
        <v>0.1</v>
      </c>
      <c r="K71" s="101"/>
      <c r="L71" s="183" t="e">
        <f t="shared" si="22"/>
        <v>#N/A</v>
      </c>
      <c r="M71" s="88"/>
      <c r="N71" s="91"/>
      <c r="O71" s="91"/>
      <c r="P71" s="90">
        <v>0</v>
      </c>
      <c r="Q71" s="87">
        <v>1</v>
      </c>
      <c r="R71" s="87">
        <v>0.1419</v>
      </c>
      <c r="S71" s="87">
        <v>0.12468000000000001</v>
      </c>
      <c r="T71" s="87">
        <v>0.19632000000000002</v>
      </c>
      <c r="U71" s="87">
        <v>5.5880000000000006E-2</v>
      </c>
      <c r="V71" s="193">
        <v>0</v>
      </c>
      <c r="W71" s="193">
        <v>0</v>
      </c>
      <c r="X71" s="193">
        <v>0</v>
      </c>
      <c r="Y71" s="193">
        <v>0</v>
      </c>
      <c r="Z71" s="193">
        <v>0</v>
      </c>
      <c r="AA71" s="193">
        <v>0</v>
      </c>
      <c r="AB71" s="193">
        <v>0</v>
      </c>
      <c r="AC71" s="193">
        <v>0</v>
      </c>
      <c r="AD71" s="193">
        <v>0</v>
      </c>
      <c r="AE71" s="193">
        <v>0</v>
      </c>
      <c r="AF71" s="193">
        <v>0</v>
      </c>
      <c r="AG71" s="193">
        <v>0</v>
      </c>
      <c r="AH71" s="193">
        <v>0</v>
      </c>
      <c r="AI71" s="193">
        <v>0</v>
      </c>
      <c r="AJ71" s="193">
        <v>0</v>
      </c>
      <c r="AL71" s="87">
        <f t="shared" si="24"/>
        <v>1</v>
      </c>
      <c r="AM71" s="87">
        <f t="shared" si="2"/>
        <v>0.1419</v>
      </c>
      <c r="AN71" s="87">
        <f t="shared" si="3"/>
        <v>0.12468000000000001</v>
      </c>
      <c r="AO71" s="87">
        <f t="shared" si="4"/>
        <v>0.19632000000000002</v>
      </c>
      <c r="AP71" s="87">
        <f t="shared" si="5"/>
        <v>5.5880000000000006E-2</v>
      </c>
      <c r="AQ71" s="87">
        <f t="shared" si="6"/>
        <v>0</v>
      </c>
      <c r="AR71" s="87">
        <f t="shared" si="7"/>
        <v>0</v>
      </c>
      <c r="AS71" s="87">
        <f t="shared" si="8"/>
        <v>0</v>
      </c>
      <c r="AT71" s="87">
        <f t="shared" si="9"/>
        <v>0</v>
      </c>
      <c r="AU71" s="87">
        <f t="shared" si="10"/>
        <v>0</v>
      </c>
      <c r="AV71" s="87">
        <f t="shared" si="11"/>
        <v>0</v>
      </c>
      <c r="AW71" s="87">
        <f t="shared" si="12"/>
        <v>0</v>
      </c>
      <c r="AX71" s="87">
        <f t="shared" si="13"/>
        <v>0</v>
      </c>
      <c r="AY71" s="87">
        <f t="shared" si="14"/>
        <v>0</v>
      </c>
      <c r="AZ71" s="87">
        <f t="shared" si="15"/>
        <v>0</v>
      </c>
      <c r="BA71" s="87">
        <f t="shared" si="16"/>
        <v>0</v>
      </c>
      <c r="BB71" s="87">
        <f t="shared" si="17"/>
        <v>0</v>
      </c>
      <c r="BC71" s="87">
        <f t="shared" si="18"/>
        <v>0</v>
      </c>
      <c r="BD71" s="87">
        <f t="shared" si="19"/>
        <v>0</v>
      </c>
      <c r="BE71" s="87">
        <f t="shared" si="20"/>
        <v>0</v>
      </c>
    </row>
    <row r="72" spans="1:57" s="90" customFormat="1" ht="15" customHeight="1" x14ac:dyDescent="0.25">
      <c r="A72" s="187" t="b">
        <v>1</v>
      </c>
      <c r="B72" s="188" t="b">
        <v>1</v>
      </c>
      <c r="C72" s="179" t="e">
        <f t="shared" si="0"/>
        <v>#N/A</v>
      </c>
      <c r="E72" s="180">
        <v>2043</v>
      </c>
      <c r="F72" s="100">
        <f t="shared" si="23"/>
        <v>60</v>
      </c>
      <c r="G72" s="181">
        <f t="shared" si="1"/>
        <v>10</v>
      </c>
      <c r="H72" s="181" t="e">
        <f t="shared" si="21"/>
        <v>#N/A</v>
      </c>
      <c r="J72" s="193">
        <v>0.1</v>
      </c>
      <c r="K72" s="101"/>
      <c r="L72" s="183" t="e">
        <f t="shared" si="22"/>
        <v>#N/A</v>
      </c>
      <c r="M72" s="88"/>
      <c r="N72" s="91"/>
      <c r="O72" s="91"/>
      <c r="P72" s="90">
        <v>0</v>
      </c>
      <c r="Q72" s="87">
        <v>1</v>
      </c>
      <c r="R72" s="87">
        <v>0.1419</v>
      </c>
      <c r="S72" s="87">
        <v>0.13468000000000002</v>
      </c>
      <c r="T72" s="87">
        <v>0.19632000000000002</v>
      </c>
      <c r="U72" s="87">
        <v>6.5879999999999994E-2</v>
      </c>
      <c r="V72" s="193">
        <v>0</v>
      </c>
      <c r="W72" s="193">
        <v>0</v>
      </c>
      <c r="X72" s="193">
        <v>0</v>
      </c>
      <c r="Y72" s="193">
        <v>0</v>
      </c>
      <c r="Z72" s="193">
        <v>0</v>
      </c>
      <c r="AA72" s="193">
        <v>0</v>
      </c>
      <c r="AB72" s="193">
        <v>0</v>
      </c>
      <c r="AC72" s="193">
        <v>0</v>
      </c>
      <c r="AD72" s="193">
        <v>0</v>
      </c>
      <c r="AE72" s="193">
        <v>0</v>
      </c>
      <c r="AF72" s="193">
        <v>0</v>
      </c>
      <c r="AG72" s="193">
        <v>0</v>
      </c>
      <c r="AH72" s="193">
        <v>0</v>
      </c>
      <c r="AI72" s="193">
        <v>0</v>
      </c>
      <c r="AJ72" s="193">
        <v>0</v>
      </c>
      <c r="AL72" s="87">
        <f t="shared" si="24"/>
        <v>1</v>
      </c>
      <c r="AM72" s="87">
        <f t="shared" si="2"/>
        <v>0.1419</v>
      </c>
      <c r="AN72" s="87">
        <f t="shared" si="3"/>
        <v>0.13468000000000002</v>
      </c>
      <c r="AO72" s="87">
        <f t="shared" si="4"/>
        <v>0.19632000000000002</v>
      </c>
      <c r="AP72" s="87">
        <f t="shared" si="5"/>
        <v>6.5879999999999994E-2</v>
      </c>
      <c r="AQ72" s="87">
        <f t="shared" si="6"/>
        <v>0</v>
      </c>
      <c r="AR72" s="87">
        <f t="shared" si="7"/>
        <v>0</v>
      </c>
      <c r="AS72" s="87">
        <f t="shared" si="8"/>
        <v>0</v>
      </c>
      <c r="AT72" s="87">
        <f t="shared" si="9"/>
        <v>0</v>
      </c>
      <c r="AU72" s="87">
        <f t="shared" si="10"/>
        <v>0</v>
      </c>
      <c r="AV72" s="87">
        <f t="shared" si="11"/>
        <v>0</v>
      </c>
      <c r="AW72" s="87">
        <f t="shared" si="12"/>
        <v>0</v>
      </c>
      <c r="AX72" s="87">
        <f t="shared" si="13"/>
        <v>0</v>
      </c>
      <c r="AY72" s="87">
        <f t="shared" si="14"/>
        <v>0</v>
      </c>
      <c r="AZ72" s="87">
        <f t="shared" si="15"/>
        <v>0</v>
      </c>
      <c r="BA72" s="87">
        <f t="shared" si="16"/>
        <v>0</v>
      </c>
      <c r="BB72" s="87">
        <f t="shared" si="17"/>
        <v>0</v>
      </c>
      <c r="BC72" s="87">
        <f t="shared" si="18"/>
        <v>0</v>
      </c>
      <c r="BD72" s="87">
        <f t="shared" si="19"/>
        <v>0</v>
      </c>
      <c r="BE72" s="87">
        <f t="shared" si="20"/>
        <v>0</v>
      </c>
    </row>
    <row r="73" spans="1:57" s="90" customFormat="1" ht="15" customHeight="1" x14ac:dyDescent="0.25">
      <c r="A73" s="187" t="b">
        <v>1</v>
      </c>
      <c r="B73" s="188" t="b">
        <v>1</v>
      </c>
      <c r="C73" s="179" t="e">
        <f t="shared" si="0"/>
        <v>#N/A</v>
      </c>
      <c r="E73" s="180">
        <v>2044</v>
      </c>
      <c r="F73" s="100">
        <f t="shared" si="23"/>
        <v>61</v>
      </c>
      <c r="G73" s="181">
        <f t="shared" si="1"/>
        <v>9</v>
      </c>
      <c r="H73" s="181" t="e">
        <f t="shared" si="21"/>
        <v>#N/A</v>
      </c>
      <c r="J73" s="193">
        <v>0.1</v>
      </c>
      <c r="K73" s="101"/>
      <c r="L73" s="183" t="e">
        <f t="shared" si="22"/>
        <v>#N/A</v>
      </c>
      <c r="M73" s="88"/>
      <c r="N73" s="91"/>
      <c r="O73" s="91"/>
      <c r="P73" s="90">
        <v>0</v>
      </c>
      <c r="Q73" s="87">
        <v>1</v>
      </c>
      <c r="R73" s="87">
        <v>0.1236</v>
      </c>
      <c r="S73" s="87">
        <v>0.18392</v>
      </c>
      <c r="T73" s="87">
        <v>0.19008</v>
      </c>
      <c r="U73" s="87">
        <v>8.6720000000000005E-2</v>
      </c>
      <c r="V73" s="193">
        <v>0</v>
      </c>
      <c r="W73" s="193">
        <v>0</v>
      </c>
      <c r="X73" s="193">
        <v>0</v>
      </c>
      <c r="Y73" s="193">
        <v>0</v>
      </c>
      <c r="Z73" s="193">
        <v>0</v>
      </c>
      <c r="AA73" s="193">
        <v>0</v>
      </c>
      <c r="AB73" s="193">
        <v>0</v>
      </c>
      <c r="AC73" s="193">
        <v>0</v>
      </c>
      <c r="AD73" s="193">
        <v>0</v>
      </c>
      <c r="AE73" s="193">
        <v>0</v>
      </c>
      <c r="AF73" s="193">
        <v>0</v>
      </c>
      <c r="AG73" s="193">
        <v>0</v>
      </c>
      <c r="AH73" s="193">
        <v>0</v>
      </c>
      <c r="AI73" s="193">
        <v>0</v>
      </c>
      <c r="AJ73" s="193">
        <v>0</v>
      </c>
      <c r="AL73" s="87">
        <f t="shared" si="24"/>
        <v>1</v>
      </c>
      <c r="AM73" s="87">
        <f t="shared" si="2"/>
        <v>0.1236</v>
      </c>
      <c r="AN73" s="87">
        <f t="shared" si="3"/>
        <v>0.18392</v>
      </c>
      <c r="AO73" s="87">
        <f t="shared" si="4"/>
        <v>0.19008</v>
      </c>
      <c r="AP73" s="87">
        <f t="shared" si="5"/>
        <v>8.6720000000000005E-2</v>
      </c>
      <c r="AQ73" s="87">
        <f t="shared" si="6"/>
        <v>0</v>
      </c>
      <c r="AR73" s="87">
        <f t="shared" si="7"/>
        <v>0</v>
      </c>
      <c r="AS73" s="87">
        <f t="shared" si="8"/>
        <v>0</v>
      </c>
      <c r="AT73" s="87">
        <f t="shared" si="9"/>
        <v>0</v>
      </c>
      <c r="AU73" s="87">
        <f t="shared" si="10"/>
        <v>0</v>
      </c>
      <c r="AV73" s="87">
        <f t="shared" si="11"/>
        <v>0</v>
      </c>
      <c r="AW73" s="87">
        <f t="shared" si="12"/>
        <v>0</v>
      </c>
      <c r="AX73" s="87">
        <f t="shared" si="13"/>
        <v>0</v>
      </c>
      <c r="AY73" s="87">
        <f t="shared" si="14"/>
        <v>0</v>
      </c>
      <c r="AZ73" s="87">
        <f t="shared" si="15"/>
        <v>0</v>
      </c>
      <c r="BA73" s="87">
        <f t="shared" si="16"/>
        <v>0</v>
      </c>
      <c r="BB73" s="87">
        <f t="shared" si="17"/>
        <v>0</v>
      </c>
      <c r="BC73" s="87">
        <f t="shared" si="18"/>
        <v>0</v>
      </c>
      <c r="BD73" s="87">
        <f t="shared" si="19"/>
        <v>0</v>
      </c>
      <c r="BE73" s="87">
        <f t="shared" si="20"/>
        <v>0</v>
      </c>
    </row>
    <row r="74" spans="1:57" s="90" customFormat="1" ht="15" customHeight="1" x14ac:dyDescent="0.25">
      <c r="A74" s="187" t="b">
        <v>1</v>
      </c>
      <c r="B74" s="188" t="b">
        <v>1</v>
      </c>
      <c r="C74" s="179" t="e">
        <f t="shared" si="0"/>
        <v>#N/A</v>
      </c>
      <c r="E74" s="180">
        <v>2045</v>
      </c>
      <c r="F74" s="100">
        <f t="shared" si="23"/>
        <v>62</v>
      </c>
      <c r="G74" s="181">
        <f t="shared" si="1"/>
        <v>8</v>
      </c>
      <c r="H74" s="181" t="e">
        <f t="shared" si="21"/>
        <v>#N/A</v>
      </c>
      <c r="J74" s="193">
        <v>0.1</v>
      </c>
      <c r="K74" s="101"/>
      <c r="L74" s="183" t="e">
        <f t="shared" si="22"/>
        <v>#N/A</v>
      </c>
      <c r="M74" s="88"/>
      <c r="N74" s="91"/>
      <c r="O74" s="91"/>
      <c r="P74" s="90">
        <v>0</v>
      </c>
      <c r="Q74" s="87">
        <v>1</v>
      </c>
      <c r="R74" s="87">
        <v>0.11615</v>
      </c>
      <c r="S74" s="87">
        <v>0.23777999999999999</v>
      </c>
      <c r="T74" s="87">
        <v>0.16572000000000001</v>
      </c>
      <c r="U74" s="87">
        <v>0.10798000000000001</v>
      </c>
      <c r="V74" s="193">
        <v>0</v>
      </c>
      <c r="W74" s="193">
        <v>0</v>
      </c>
      <c r="X74" s="193">
        <v>0</v>
      </c>
      <c r="Y74" s="193">
        <v>0</v>
      </c>
      <c r="Z74" s="193">
        <v>0</v>
      </c>
      <c r="AA74" s="193">
        <v>0</v>
      </c>
      <c r="AB74" s="193">
        <v>0</v>
      </c>
      <c r="AC74" s="193">
        <v>0</v>
      </c>
      <c r="AD74" s="193">
        <v>0</v>
      </c>
      <c r="AE74" s="193">
        <v>0</v>
      </c>
      <c r="AF74" s="193">
        <v>0</v>
      </c>
      <c r="AG74" s="193">
        <v>0</v>
      </c>
      <c r="AH74" s="193">
        <v>0</v>
      </c>
      <c r="AI74" s="193">
        <v>0</v>
      </c>
      <c r="AJ74" s="193">
        <v>0</v>
      </c>
      <c r="AL74" s="87">
        <f t="shared" si="24"/>
        <v>1</v>
      </c>
      <c r="AM74" s="87">
        <f t="shared" si="2"/>
        <v>0.11615</v>
      </c>
      <c r="AN74" s="87">
        <f t="shared" si="3"/>
        <v>0.23777999999999999</v>
      </c>
      <c r="AO74" s="87">
        <f t="shared" si="4"/>
        <v>0.16572000000000001</v>
      </c>
      <c r="AP74" s="87">
        <f t="shared" si="5"/>
        <v>0.10798000000000001</v>
      </c>
      <c r="AQ74" s="87">
        <f t="shared" si="6"/>
        <v>0</v>
      </c>
      <c r="AR74" s="87">
        <f t="shared" si="7"/>
        <v>0</v>
      </c>
      <c r="AS74" s="87">
        <f t="shared" si="8"/>
        <v>0</v>
      </c>
      <c r="AT74" s="87">
        <f t="shared" si="9"/>
        <v>0</v>
      </c>
      <c r="AU74" s="87">
        <f t="shared" si="10"/>
        <v>0</v>
      </c>
      <c r="AV74" s="87">
        <f t="shared" si="11"/>
        <v>0</v>
      </c>
      <c r="AW74" s="87">
        <f t="shared" si="12"/>
        <v>0</v>
      </c>
      <c r="AX74" s="87">
        <f t="shared" si="13"/>
        <v>0</v>
      </c>
      <c r="AY74" s="87">
        <f t="shared" si="14"/>
        <v>0</v>
      </c>
      <c r="AZ74" s="87">
        <f t="shared" si="15"/>
        <v>0</v>
      </c>
      <c r="BA74" s="87">
        <f t="shared" si="16"/>
        <v>0</v>
      </c>
      <c r="BB74" s="87">
        <f t="shared" si="17"/>
        <v>0</v>
      </c>
      <c r="BC74" s="87">
        <f t="shared" si="18"/>
        <v>0</v>
      </c>
      <c r="BD74" s="87">
        <f t="shared" si="19"/>
        <v>0</v>
      </c>
      <c r="BE74" s="87">
        <f t="shared" si="20"/>
        <v>0</v>
      </c>
    </row>
    <row r="75" spans="1:57" s="90" customFormat="1" ht="15" customHeight="1" x14ac:dyDescent="0.25">
      <c r="A75" s="187" t="b">
        <v>1</v>
      </c>
      <c r="B75" s="188" t="b">
        <v>1</v>
      </c>
      <c r="C75" s="179" t="e">
        <f t="shared" si="0"/>
        <v>#N/A</v>
      </c>
      <c r="E75" s="180">
        <v>2046</v>
      </c>
      <c r="F75" s="100">
        <f t="shared" si="23"/>
        <v>63</v>
      </c>
      <c r="G75" s="181">
        <f t="shared" si="1"/>
        <v>7</v>
      </c>
      <c r="H75" s="181" t="e">
        <f t="shared" si="21"/>
        <v>#N/A</v>
      </c>
      <c r="J75" s="193">
        <v>0.1</v>
      </c>
      <c r="K75" s="101"/>
      <c r="L75" s="183" t="e">
        <f t="shared" si="22"/>
        <v>#N/A</v>
      </c>
      <c r="M75" s="88"/>
      <c r="N75" s="91"/>
      <c r="O75" s="91"/>
      <c r="P75" s="90">
        <v>0</v>
      </c>
      <c r="Q75" s="87">
        <v>1</v>
      </c>
      <c r="R75" s="87">
        <v>9.870000000000001E-2</v>
      </c>
      <c r="S75" s="87">
        <v>0.27163999999999999</v>
      </c>
      <c r="T75" s="87">
        <v>0.15135999999999999</v>
      </c>
      <c r="U75" s="87">
        <v>0.13924</v>
      </c>
      <c r="V75" s="193">
        <v>0</v>
      </c>
      <c r="W75" s="193">
        <v>0</v>
      </c>
      <c r="X75" s="193">
        <v>0</v>
      </c>
      <c r="Y75" s="193">
        <v>0</v>
      </c>
      <c r="Z75" s="193">
        <v>0</v>
      </c>
      <c r="AA75" s="193">
        <v>0</v>
      </c>
      <c r="AB75" s="193">
        <v>0</v>
      </c>
      <c r="AC75" s="193">
        <v>0</v>
      </c>
      <c r="AD75" s="193">
        <v>0</v>
      </c>
      <c r="AE75" s="193">
        <v>0</v>
      </c>
      <c r="AF75" s="193">
        <v>0</v>
      </c>
      <c r="AG75" s="193">
        <v>0</v>
      </c>
      <c r="AH75" s="193">
        <v>0</v>
      </c>
      <c r="AI75" s="193">
        <v>0</v>
      </c>
      <c r="AJ75" s="193">
        <v>0</v>
      </c>
      <c r="AL75" s="87">
        <f t="shared" si="24"/>
        <v>1</v>
      </c>
      <c r="AM75" s="87">
        <f t="shared" si="2"/>
        <v>9.870000000000001E-2</v>
      </c>
      <c r="AN75" s="87">
        <f t="shared" si="3"/>
        <v>0.27163999999999999</v>
      </c>
      <c r="AO75" s="87">
        <f t="shared" si="4"/>
        <v>0.15135999999999999</v>
      </c>
      <c r="AP75" s="87">
        <f t="shared" si="5"/>
        <v>0.13924</v>
      </c>
      <c r="AQ75" s="87">
        <f t="shared" si="6"/>
        <v>0</v>
      </c>
      <c r="AR75" s="87">
        <f t="shared" si="7"/>
        <v>0</v>
      </c>
      <c r="AS75" s="87">
        <f t="shared" si="8"/>
        <v>0</v>
      </c>
      <c r="AT75" s="87">
        <f t="shared" si="9"/>
        <v>0</v>
      </c>
      <c r="AU75" s="87">
        <f t="shared" si="10"/>
        <v>0</v>
      </c>
      <c r="AV75" s="87">
        <f t="shared" si="11"/>
        <v>0</v>
      </c>
      <c r="AW75" s="87">
        <f t="shared" si="12"/>
        <v>0</v>
      </c>
      <c r="AX75" s="87">
        <f t="shared" si="13"/>
        <v>0</v>
      </c>
      <c r="AY75" s="87">
        <f t="shared" si="14"/>
        <v>0</v>
      </c>
      <c r="AZ75" s="87">
        <f t="shared" si="15"/>
        <v>0</v>
      </c>
      <c r="BA75" s="87">
        <f t="shared" si="16"/>
        <v>0</v>
      </c>
      <c r="BB75" s="87">
        <f t="shared" si="17"/>
        <v>0</v>
      </c>
      <c r="BC75" s="87">
        <f t="shared" si="18"/>
        <v>0</v>
      </c>
      <c r="BD75" s="87">
        <f t="shared" si="19"/>
        <v>0</v>
      </c>
      <c r="BE75" s="87">
        <f t="shared" si="20"/>
        <v>0</v>
      </c>
    </row>
    <row r="76" spans="1:57" s="90" customFormat="1" ht="15" customHeight="1" x14ac:dyDescent="0.25">
      <c r="A76" s="187" t="b">
        <v>1</v>
      </c>
      <c r="B76" s="188" t="b">
        <v>1</v>
      </c>
      <c r="C76" s="179" t="e">
        <f t="shared" si="0"/>
        <v>#N/A</v>
      </c>
      <c r="E76" s="180">
        <v>2047</v>
      </c>
      <c r="F76" s="100">
        <f t="shared" si="23"/>
        <v>64</v>
      </c>
      <c r="G76" s="181">
        <f t="shared" si="1"/>
        <v>6</v>
      </c>
      <c r="H76" s="181" t="e">
        <f t="shared" si="21"/>
        <v>#N/A</v>
      </c>
      <c r="J76" s="193">
        <v>0.1</v>
      </c>
      <c r="K76" s="101"/>
      <c r="L76" s="183" t="e">
        <f t="shared" si="22"/>
        <v>#N/A</v>
      </c>
      <c r="M76" s="88"/>
      <c r="N76" s="91"/>
      <c r="O76" s="91"/>
      <c r="P76" s="90">
        <v>0</v>
      </c>
      <c r="Q76" s="87">
        <v>1</v>
      </c>
      <c r="R76" s="87">
        <v>9.0400000000000008E-2</v>
      </c>
      <c r="S76" s="87">
        <v>0.31088000000000005</v>
      </c>
      <c r="T76" s="87">
        <v>0.14512</v>
      </c>
      <c r="U76" s="87">
        <v>0.15008000000000002</v>
      </c>
      <c r="V76" s="193">
        <v>0</v>
      </c>
      <c r="W76" s="193">
        <v>0</v>
      </c>
      <c r="X76" s="193">
        <v>0</v>
      </c>
      <c r="Y76" s="193">
        <v>0</v>
      </c>
      <c r="Z76" s="193">
        <v>0</v>
      </c>
      <c r="AA76" s="193">
        <v>0</v>
      </c>
      <c r="AB76" s="193">
        <v>0</v>
      </c>
      <c r="AC76" s="193">
        <v>0</v>
      </c>
      <c r="AD76" s="193">
        <v>0</v>
      </c>
      <c r="AE76" s="193">
        <v>0</v>
      </c>
      <c r="AF76" s="193">
        <v>0</v>
      </c>
      <c r="AG76" s="193">
        <v>0</v>
      </c>
      <c r="AH76" s="193">
        <v>0</v>
      </c>
      <c r="AI76" s="193">
        <v>0</v>
      </c>
      <c r="AJ76" s="193">
        <v>0</v>
      </c>
      <c r="AL76" s="87">
        <f t="shared" si="24"/>
        <v>1</v>
      </c>
      <c r="AM76" s="87">
        <f t="shared" si="2"/>
        <v>9.0400000000000008E-2</v>
      </c>
      <c r="AN76" s="87">
        <f t="shared" si="3"/>
        <v>0.31088000000000005</v>
      </c>
      <c r="AO76" s="87">
        <f t="shared" si="4"/>
        <v>0.14512</v>
      </c>
      <c r="AP76" s="87">
        <f t="shared" si="5"/>
        <v>0.15008000000000002</v>
      </c>
      <c r="AQ76" s="87">
        <f t="shared" si="6"/>
        <v>0</v>
      </c>
      <c r="AR76" s="87">
        <f t="shared" si="7"/>
        <v>0</v>
      </c>
      <c r="AS76" s="87">
        <f t="shared" si="8"/>
        <v>0</v>
      </c>
      <c r="AT76" s="87">
        <f t="shared" si="9"/>
        <v>0</v>
      </c>
      <c r="AU76" s="87">
        <f t="shared" si="10"/>
        <v>0</v>
      </c>
      <c r="AV76" s="87">
        <f t="shared" si="11"/>
        <v>0</v>
      </c>
      <c r="AW76" s="87">
        <f t="shared" si="12"/>
        <v>0</v>
      </c>
      <c r="AX76" s="87">
        <f t="shared" si="13"/>
        <v>0</v>
      </c>
      <c r="AY76" s="87">
        <f t="shared" si="14"/>
        <v>0</v>
      </c>
      <c r="AZ76" s="87">
        <f t="shared" si="15"/>
        <v>0</v>
      </c>
      <c r="BA76" s="87">
        <f t="shared" si="16"/>
        <v>0</v>
      </c>
      <c r="BB76" s="87">
        <f t="shared" si="17"/>
        <v>0</v>
      </c>
      <c r="BC76" s="87">
        <f t="shared" si="18"/>
        <v>0</v>
      </c>
      <c r="BD76" s="87">
        <f t="shared" si="19"/>
        <v>0</v>
      </c>
      <c r="BE76" s="87">
        <f t="shared" si="20"/>
        <v>0</v>
      </c>
    </row>
    <row r="77" spans="1:57" s="90" customFormat="1" ht="15" customHeight="1" x14ac:dyDescent="0.25">
      <c r="A77" s="187" t="b">
        <v>1</v>
      </c>
      <c r="B77" s="188" t="b">
        <v>1</v>
      </c>
      <c r="C77" s="179" t="e">
        <f t="shared" si="0"/>
        <v>#N/A</v>
      </c>
      <c r="E77" s="180">
        <v>2048</v>
      </c>
      <c r="F77" s="100">
        <f t="shared" si="23"/>
        <v>65</v>
      </c>
      <c r="G77" s="181">
        <f t="shared" si="1"/>
        <v>5</v>
      </c>
      <c r="H77" s="181" t="e">
        <f t="shared" si="21"/>
        <v>#N/A</v>
      </c>
      <c r="J77" s="193">
        <v>0.1</v>
      </c>
      <c r="K77" s="101"/>
      <c r="L77" s="183" t="e">
        <f t="shared" si="22"/>
        <v>#N/A</v>
      </c>
      <c r="M77" s="88"/>
      <c r="N77" s="91"/>
      <c r="O77" s="91"/>
      <c r="P77" s="90">
        <v>0</v>
      </c>
      <c r="Q77" s="87">
        <v>1</v>
      </c>
      <c r="R77" s="87">
        <v>8.2949999999999996E-2</v>
      </c>
      <c r="S77" s="87">
        <v>0.35474000000000006</v>
      </c>
      <c r="T77" s="87">
        <v>0.13076000000000002</v>
      </c>
      <c r="U77" s="87">
        <v>0.17133999999999999</v>
      </c>
      <c r="V77" s="193">
        <v>0</v>
      </c>
      <c r="W77" s="193">
        <v>0</v>
      </c>
      <c r="X77" s="193">
        <v>0</v>
      </c>
      <c r="Y77" s="193">
        <v>0</v>
      </c>
      <c r="Z77" s="193">
        <v>0</v>
      </c>
      <c r="AA77" s="193">
        <v>0</v>
      </c>
      <c r="AB77" s="193">
        <v>0</v>
      </c>
      <c r="AC77" s="193">
        <v>0</v>
      </c>
      <c r="AD77" s="193">
        <v>0</v>
      </c>
      <c r="AE77" s="193">
        <v>0</v>
      </c>
      <c r="AF77" s="193">
        <v>0</v>
      </c>
      <c r="AG77" s="193">
        <v>0</v>
      </c>
      <c r="AH77" s="193">
        <v>0</v>
      </c>
      <c r="AI77" s="193">
        <v>0</v>
      </c>
      <c r="AJ77" s="193">
        <v>0</v>
      </c>
      <c r="AL77" s="87">
        <f t="shared" si="24"/>
        <v>1</v>
      </c>
      <c r="AM77" s="87">
        <f t="shared" si="2"/>
        <v>8.2949999999999996E-2</v>
      </c>
      <c r="AN77" s="87">
        <f t="shared" si="3"/>
        <v>0.35474000000000006</v>
      </c>
      <c r="AO77" s="87">
        <f t="shared" si="4"/>
        <v>0.13076000000000002</v>
      </c>
      <c r="AP77" s="87">
        <f t="shared" si="5"/>
        <v>0.17133999999999999</v>
      </c>
      <c r="AQ77" s="87">
        <f t="shared" si="6"/>
        <v>0</v>
      </c>
      <c r="AR77" s="87">
        <f t="shared" si="7"/>
        <v>0</v>
      </c>
      <c r="AS77" s="87">
        <f t="shared" si="8"/>
        <v>0</v>
      </c>
      <c r="AT77" s="87">
        <f t="shared" si="9"/>
        <v>0</v>
      </c>
      <c r="AU77" s="87">
        <f t="shared" si="10"/>
        <v>0</v>
      </c>
      <c r="AV77" s="87">
        <f t="shared" si="11"/>
        <v>0</v>
      </c>
      <c r="AW77" s="87">
        <f t="shared" si="12"/>
        <v>0</v>
      </c>
      <c r="AX77" s="87">
        <f t="shared" si="13"/>
        <v>0</v>
      </c>
      <c r="AY77" s="87">
        <f t="shared" si="14"/>
        <v>0</v>
      </c>
      <c r="AZ77" s="87">
        <f t="shared" si="15"/>
        <v>0</v>
      </c>
      <c r="BA77" s="87">
        <f t="shared" si="16"/>
        <v>0</v>
      </c>
      <c r="BB77" s="87">
        <f t="shared" si="17"/>
        <v>0</v>
      </c>
      <c r="BC77" s="87">
        <f t="shared" si="18"/>
        <v>0</v>
      </c>
      <c r="BD77" s="87">
        <f t="shared" si="19"/>
        <v>0</v>
      </c>
      <c r="BE77" s="87">
        <f t="shared" si="20"/>
        <v>0</v>
      </c>
    </row>
    <row r="78" spans="1:57" s="90" customFormat="1" ht="15" customHeight="1" x14ac:dyDescent="0.25">
      <c r="A78" s="187" t="b">
        <v>1</v>
      </c>
      <c r="B78" s="188" t="b">
        <v>1</v>
      </c>
      <c r="C78" s="179" t="e">
        <f t="shared" si="0"/>
        <v>#N/A</v>
      </c>
      <c r="E78" s="180">
        <v>2049</v>
      </c>
      <c r="F78" s="100">
        <f t="shared" si="23"/>
        <v>66</v>
      </c>
      <c r="G78" s="181">
        <f t="shared" si="1"/>
        <v>4</v>
      </c>
      <c r="H78" s="181" t="e">
        <f t="shared" si="21"/>
        <v>#N/A</v>
      </c>
      <c r="J78" s="193">
        <v>0.1</v>
      </c>
      <c r="K78" s="101"/>
      <c r="L78" s="183" t="e">
        <f t="shared" si="22"/>
        <v>#N/A</v>
      </c>
      <c r="M78" s="88"/>
      <c r="N78" s="91"/>
      <c r="O78" s="91"/>
      <c r="P78" s="90">
        <v>0</v>
      </c>
      <c r="Q78" s="87">
        <v>1</v>
      </c>
      <c r="R78" s="87">
        <v>7.4650000000000008E-2</v>
      </c>
      <c r="S78" s="87">
        <v>0.39398</v>
      </c>
      <c r="T78" s="87">
        <v>0.12452000000000001</v>
      </c>
      <c r="U78" s="87">
        <v>0.19217999999999999</v>
      </c>
      <c r="V78" s="193">
        <v>0</v>
      </c>
      <c r="W78" s="193">
        <v>0</v>
      </c>
      <c r="X78" s="193">
        <v>0</v>
      </c>
      <c r="Y78" s="193">
        <v>0</v>
      </c>
      <c r="Z78" s="193">
        <v>0</v>
      </c>
      <c r="AA78" s="193">
        <v>0</v>
      </c>
      <c r="AB78" s="193">
        <v>0</v>
      </c>
      <c r="AC78" s="193">
        <v>0</v>
      </c>
      <c r="AD78" s="193">
        <v>0</v>
      </c>
      <c r="AE78" s="193">
        <v>0</v>
      </c>
      <c r="AF78" s="193">
        <v>0</v>
      </c>
      <c r="AG78" s="193">
        <v>0</v>
      </c>
      <c r="AH78" s="193">
        <v>0</v>
      </c>
      <c r="AI78" s="193">
        <v>0</v>
      </c>
      <c r="AJ78" s="193">
        <v>0</v>
      </c>
      <c r="AL78" s="87">
        <f t="shared" si="24"/>
        <v>1</v>
      </c>
      <c r="AM78" s="87">
        <f t="shared" si="2"/>
        <v>7.4650000000000008E-2</v>
      </c>
      <c r="AN78" s="87">
        <f t="shared" si="3"/>
        <v>0.39398</v>
      </c>
      <c r="AO78" s="87">
        <f t="shared" si="4"/>
        <v>0.12452000000000001</v>
      </c>
      <c r="AP78" s="87">
        <f t="shared" si="5"/>
        <v>0.19217999999999999</v>
      </c>
      <c r="AQ78" s="87">
        <f t="shared" si="6"/>
        <v>0</v>
      </c>
      <c r="AR78" s="87">
        <f t="shared" si="7"/>
        <v>0</v>
      </c>
      <c r="AS78" s="87">
        <f t="shared" si="8"/>
        <v>0</v>
      </c>
      <c r="AT78" s="87">
        <f t="shared" si="9"/>
        <v>0</v>
      </c>
      <c r="AU78" s="87">
        <f t="shared" si="10"/>
        <v>0</v>
      </c>
      <c r="AV78" s="87">
        <f t="shared" si="11"/>
        <v>0</v>
      </c>
      <c r="AW78" s="87">
        <f t="shared" si="12"/>
        <v>0</v>
      </c>
      <c r="AX78" s="87">
        <f t="shared" si="13"/>
        <v>0</v>
      </c>
      <c r="AY78" s="87">
        <f t="shared" si="14"/>
        <v>0</v>
      </c>
      <c r="AZ78" s="87">
        <f t="shared" si="15"/>
        <v>0</v>
      </c>
      <c r="BA78" s="87">
        <f t="shared" si="16"/>
        <v>0</v>
      </c>
      <c r="BB78" s="87">
        <f t="shared" si="17"/>
        <v>0</v>
      </c>
      <c r="BC78" s="87">
        <f t="shared" si="18"/>
        <v>0</v>
      </c>
      <c r="BD78" s="87">
        <f t="shared" si="19"/>
        <v>0</v>
      </c>
      <c r="BE78" s="87">
        <f t="shared" si="20"/>
        <v>0</v>
      </c>
    </row>
    <row r="79" spans="1:57" s="90" customFormat="1" ht="15" customHeight="1" x14ac:dyDescent="0.25">
      <c r="A79" s="187" t="b">
        <v>1</v>
      </c>
      <c r="B79" s="188" t="b">
        <v>1</v>
      </c>
      <c r="C79" s="179" t="e">
        <f t="shared" ref="C79:C110" si="25">INDEX(CareerWageGrowthData,MATCH(MIN(F79, MAX(CareerAge)),CareerAge,0),MATCH(CountryAbbrev,CareerCountries,0))</f>
        <v>#N/A</v>
      </c>
      <c r="E79" s="180">
        <v>2050</v>
      </c>
      <c r="F79" s="100">
        <f t="shared" si="23"/>
        <v>67</v>
      </c>
      <c r="G79" s="181">
        <f t="shared" ref="G79:G110" si="26">Pension_age-F79</f>
        <v>3</v>
      </c>
      <c r="H79" s="181" t="e">
        <f t="shared" si="21"/>
        <v>#N/A</v>
      </c>
      <c r="J79" s="193">
        <v>0.1</v>
      </c>
      <c r="K79" s="101"/>
      <c r="L79" s="183" t="e">
        <f t="shared" si="22"/>
        <v>#N/A</v>
      </c>
      <c r="M79" s="88"/>
      <c r="N79" s="91"/>
      <c r="O79" s="91"/>
      <c r="P79" s="90">
        <v>0</v>
      </c>
      <c r="Q79" s="87">
        <v>1</v>
      </c>
      <c r="R79" s="87">
        <v>3.3399999999999999E-2</v>
      </c>
      <c r="S79" s="87">
        <v>3.848E-2</v>
      </c>
      <c r="T79" s="87">
        <v>4.752E-2</v>
      </c>
      <c r="U79" s="87">
        <v>0.76168000000000002</v>
      </c>
      <c r="V79" s="193">
        <v>0</v>
      </c>
      <c r="W79" s="193">
        <v>0</v>
      </c>
      <c r="X79" s="193">
        <v>0</v>
      </c>
      <c r="Y79" s="193">
        <v>0</v>
      </c>
      <c r="Z79" s="193">
        <v>0</v>
      </c>
      <c r="AA79" s="193">
        <v>0</v>
      </c>
      <c r="AB79" s="193">
        <v>0</v>
      </c>
      <c r="AC79" s="193">
        <v>0</v>
      </c>
      <c r="AD79" s="193">
        <v>0</v>
      </c>
      <c r="AE79" s="193">
        <v>0</v>
      </c>
      <c r="AF79" s="193">
        <v>0</v>
      </c>
      <c r="AG79" s="193">
        <v>0</v>
      </c>
      <c r="AH79" s="193">
        <v>0</v>
      </c>
      <c r="AI79" s="193">
        <v>0</v>
      </c>
      <c r="AJ79" s="193">
        <v>0</v>
      </c>
      <c r="AL79" s="87">
        <f t="shared" si="24"/>
        <v>1</v>
      </c>
      <c r="AM79" s="87">
        <f t="shared" si="2"/>
        <v>3.3399999999999999E-2</v>
      </c>
      <c r="AN79" s="87">
        <f t="shared" si="3"/>
        <v>3.848E-2</v>
      </c>
      <c r="AO79" s="87">
        <f t="shared" si="4"/>
        <v>4.752E-2</v>
      </c>
      <c r="AP79" s="87">
        <f t="shared" si="5"/>
        <v>0.76168000000000002</v>
      </c>
      <c r="AQ79" s="87">
        <f t="shared" si="6"/>
        <v>0</v>
      </c>
      <c r="AR79" s="87">
        <f t="shared" si="7"/>
        <v>0</v>
      </c>
      <c r="AS79" s="87">
        <f t="shared" si="8"/>
        <v>0</v>
      </c>
      <c r="AT79" s="87">
        <f t="shared" si="9"/>
        <v>0</v>
      </c>
      <c r="AU79" s="87">
        <f t="shared" si="10"/>
        <v>0</v>
      </c>
      <c r="AV79" s="87">
        <f t="shared" si="11"/>
        <v>0</v>
      </c>
      <c r="AW79" s="87">
        <f t="shared" si="12"/>
        <v>0</v>
      </c>
      <c r="AX79" s="87">
        <f t="shared" si="13"/>
        <v>0</v>
      </c>
      <c r="AY79" s="87">
        <f t="shared" si="14"/>
        <v>0</v>
      </c>
      <c r="AZ79" s="87">
        <f t="shared" si="15"/>
        <v>0</v>
      </c>
      <c r="BA79" s="87">
        <f t="shared" si="16"/>
        <v>0</v>
      </c>
      <c r="BB79" s="87">
        <f t="shared" si="17"/>
        <v>0</v>
      </c>
      <c r="BC79" s="87">
        <f t="shared" si="18"/>
        <v>0</v>
      </c>
      <c r="BD79" s="87">
        <f t="shared" si="19"/>
        <v>0</v>
      </c>
      <c r="BE79" s="87">
        <f t="shared" si="20"/>
        <v>0</v>
      </c>
    </row>
    <row r="80" spans="1:57" s="90" customFormat="1" ht="15" customHeight="1" x14ac:dyDescent="0.25">
      <c r="A80" s="187" t="b">
        <v>1</v>
      </c>
      <c r="B80" s="188" t="b">
        <v>1</v>
      </c>
      <c r="C80" s="179" t="e">
        <f t="shared" si="25"/>
        <v>#N/A</v>
      </c>
      <c r="E80" s="180">
        <v>2051</v>
      </c>
      <c r="F80" s="100">
        <f t="shared" si="23"/>
        <v>68</v>
      </c>
      <c r="G80" s="181">
        <f t="shared" si="26"/>
        <v>2</v>
      </c>
      <c r="H80" s="181" t="e">
        <f t="shared" ref="H80:H111" si="27">H79*(1+L80)*(1+Projection_real_wage_growth)</f>
        <v>#N/A</v>
      </c>
      <c r="J80" s="193">
        <v>0.1</v>
      </c>
      <c r="K80" s="101"/>
      <c r="L80" s="183" t="e">
        <f t="shared" si="22"/>
        <v>#N/A</v>
      </c>
      <c r="M80" s="88"/>
      <c r="N80" s="91"/>
      <c r="O80" s="91"/>
      <c r="P80" s="90">
        <v>0</v>
      </c>
      <c r="Q80" s="87">
        <v>1</v>
      </c>
      <c r="R80" s="87">
        <v>2.2550000000000001E-2</v>
      </c>
      <c r="S80" s="87">
        <v>2.3859999999999999E-2</v>
      </c>
      <c r="T80" s="87">
        <v>2.564E-2</v>
      </c>
      <c r="U80" s="87">
        <v>0.86126000000000003</v>
      </c>
      <c r="V80" s="193">
        <v>0</v>
      </c>
      <c r="W80" s="193">
        <v>0</v>
      </c>
      <c r="X80" s="193">
        <v>0</v>
      </c>
      <c r="Y80" s="193">
        <v>0</v>
      </c>
      <c r="Z80" s="193">
        <v>0</v>
      </c>
      <c r="AA80" s="193">
        <v>0</v>
      </c>
      <c r="AB80" s="193">
        <v>0</v>
      </c>
      <c r="AC80" s="193">
        <v>0</v>
      </c>
      <c r="AD80" s="193">
        <v>0</v>
      </c>
      <c r="AE80" s="193">
        <v>0</v>
      </c>
      <c r="AF80" s="193">
        <v>0</v>
      </c>
      <c r="AG80" s="193">
        <v>0</v>
      </c>
      <c r="AH80" s="193">
        <v>0</v>
      </c>
      <c r="AI80" s="193">
        <v>0</v>
      </c>
      <c r="AJ80" s="193">
        <v>0</v>
      </c>
      <c r="AL80" s="87">
        <f t="shared" si="24"/>
        <v>1</v>
      </c>
      <c r="AM80" s="87">
        <f t="shared" si="2"/>
        <v>2.2550000000000001E-2</v>
      </c>
      <c r="AN80" s="87">
        <f t="shared" si="3"/>
        <v>2.3859999999999999E-2</v>
      </c>
      <c r="AO80" s="87">
        <f t="shared" si="4"/>
        <v>2.564E-2</v>
      </c>
      <c r="AP80" s="87">
        <f t="shared" si="5"/>
        <v>0.86126000000000003</v>
      </c>
      <c r="AQ80" s="87">
        <f t="shared" si="6"/>
        <v>0</v>
      </c>
      <c r="AR80" s="87">
        <f t="shared" si="7"/>
        <v>0</v>
      </c>
      <c r="AS80" s="87">
        <f t="shared" si="8"/>
        <v>0</v>
      </c>
      <c r="AT80" s="87">
        <f t="shared" si="9"/>
        <v>0</v>
      </c>
      <c r="AU80" s="87">
        <f t="shared" si="10"/>
        <v>0</v>
      </c>
      <c r="AV80" s="87">
        <f t="shared" si="11"/>
        <v>0</v>
      </c>
      <c r="AW80" s="87">
        <f t="shared" si="12"/>
        <v>0</v>
      </c>
      <c r="AX80" s="87">
        <f t="shared" si="13"/>
        <v>0</v>
      </c>
      <c r="AY80" s="87">
        <f t="shared" si="14"/>
        <v>0</v>
      </c>
      <c r="AZ80" s="87">
        <f t="shared" si="15"/>
        <v>0</v>
      </c>
      <c r="BA80" s="87">
        <f t="shared" si="16"/>
        <v>0</v>
      </c>
      <c r="BB80" s="87">
        <f t="shared" si="17"/>
        <v>0</v>
      </c>
      <c r="BC80" s="87">
        <f t="shared" si="18"/>
        <v>0</v>
      </c>
      <c r="BD80" s="87">
        <f t="shared" si="19"/>
        <v>0</v>
      </c>
      <c r="BE80" s="87">
        <f t="shared" si="20"/>
        <v>0</v>
      </c>
    </row>
    <row r="81" spans="1:57" s="90" customFormat="1" ht="15" customHeight="1" x14ac:dyDescent="0.25">
      <c r="A81" s="187" t="b">
        <v>1</v>
      </c>
      <c r="B81" s="188" t="b">
        <v>1</v>
      </c>
      <c r="C81" s="179" t="e">
        <f t="shared" si="25"/>
        <v>#N/A</v>
      </c>
      <c r="E81" s="180">
        <v>2052</v>
      </c>
      <c r="F81" s="100">
        <f t="shared" si="23"/>
        <v>69</v>
      </c>
      <c r="G81" s="181">
        <f t="shared" si="26"/>
        <v>1</v>
      </c>
      <c r="H81" s="181" t="e">
        <f t="shared" si="27"/>
        <v>#N/A</v>
      </c>
      <c r="J81" s="193">
        <v>0.1</v>
      </c>
      <c r="K81" s="101"/>
      <c r="L81" s="183" t="e">
        <f t="shared" si="22"/>
        <v>#N/A</v>
      </c>
      <c r="M81" s="88"/>
      <c r="N81" s="91"/>
      <c r="O81" s="91"/>
      <c r="P81" s="90">
        <v>0</v>
      </c>
      <c r="Q81" s="87">
        <v>1</v>
      </c>
      <c r="R81" s="87">
        <v>1.085E-2</v>
      </c>
      <c r="S81" s="87">
        <v>4.62E-3</v>
      </c>
      <c r="T81" s="87">
        <v>1.188E-2</v>
      </c>
      <c r="U81" s="87">
        <v>0.95041999999999993</v>
      </c>
      <c r="V81" s="193">
        <v>0</v>
      </c>
      <c r="W81" s="193">
        <v>0</v>
      </c>
      <c r="X81" s="193">
        <v>0</v>
      </c>
      <c r="Y81" s="193">
        <v>0</v>
      </c>
      <c r="Z81" s="193">
        <v>0</v>
      </c>
      <c r="AA81" s="193">
        <v>0</v>
      </c>
      <c r="AB81" s="193">
        <v>0</v>
      </c>
      <c r="AC81" s="193">
        <v>0</v>
      </c>
      <c r="AD81" s="193">
        <v>0</v>
      </c>
      <c r="AE81" s="193">
        <v>0</v>
      </c>
      <c r="AF81" s="193">
        <v>0</v>
      </c>
      <c r="AG81" s="193">
        <v>0</v>
      </c>
      <c r="AH81" s="193">
        <v>0</v>
      </c>
      <c r="AI81" s="193">
        <v>0</v>
      </c>
      <c r="AJ81" s="193">
        <v>0</v>
      </c>
      <c r="AL81" s="87">
        <f t="shared" si="24"/>
        <v>1</v>
      </c>
      <c r="AM81" s="87">
        <f t="shared" si="2"/>
        <v>1.085E-2</v>
      </c>
      <c r="AN81" s="87">
        <f t="shared" si="3"/>
        <v>4.62E-3</v>
      </c>
      <c r="AO81" s="87">
        <f t="shared" si="4"/>
        <v>1.188E-2</v>
      </c>
      <c r="AP81" s="87">
        <f t="shared" si="5"/>
        <v>0.95041999999999993</v>
      </c>
      <c r="AQ81" s="87">
        <f t="shared" si="6"/>
        <v>0</v>
      </c>
      <c r="AR81" s="87">
        <f t="shared" si="7"/>
        <v>0</v>
      </c>
      <c r="AS81" s="87">
        <f t="shared" si="8"/>
        <v>0</v>
      </c>
      <c r="AT81" s="87">
        <f t="shared" si="9"/>
        <v>0</v>
      </c>
      <c r="AU81" s="87">
        <f t="shared" si="10"/>
        <v>0</v>
      </c>
      <c r="AV81" s="87">
        <f t="shared" si="11"/>
        <v>0</v>
      </c>
      <c r="AW81" s="87">
        <f t="shared" si="12"/>
        <v>0</v>
      </c>
      <c r="AX81" s="87">
        <f t="shared" si="13"/>
        <v>0</v>
      </c>
      <c r="AY81" s="87">
        <f t="shared" si="14"/>
        <v>0</v>
      </c>
      <c r="AZ81" s="87">
        <f t="shared" si="15"/>
        <v>0</v>
      </c>
      <c r="BA81" s="87">
        <f t="shared" si="16"/>
        <v>0</v>
      </c>
      <c r="BB81" s="87">
        <f t="shared" si="17"/>
        <v>0</v>
      </c>
      <c r="BC81" s="87">
        <f t="shared" si="18"/>
        <v>0</v>
      </c>
      <c r="BD81" s="87">
        <f t="shared" si="19"/>
        <v>0</v>
      </c>
      <c r="BE81" s="87">
        <f t="shared" si="20"/>
        <v>0</v>
      </c>
    </row>
    <row r="82" spans="1:57" s="90" customFormat="1" ht="15" customHeight="1" x14ac:dyDescent="0.25">
      <c r="A82" s="187" t="b">
        <v>1</v>
      </c>
      <c r="B82" s="188" t="b">
        <v>1</v>
      </c>
      <c r="C82" s="179" t="e">
        <f t="shared" si="25"/>
        <v>#N/A</v>
      </c>
      <c r="E82" s="180">
        <v>2053</v>
      </c>
      <c r="F82" s="100">
        <f t="shared" si="23"/>
        <v>70</v>
      </c>
      <c r="G82" s="181">
        <f t="shared" si="26"/>
        <v>0</v>
      </c>
      <c r="H82" s="181" t="e">
        <f t="shared" si="27"/>
        <v>#N/A</v>
      </c>
      <c r="J82" s="193">
        <v>0.1</v>
      </c>
      <c r="K82" s="101"/>
      <c r="L82" s="183" t="e">
        <f t="shared" si="22"/>
        <v>#N/A</v>
      </c>
      <c r="M82" s="88"/>
      <c r="N82" s="91"/>
      <c r="O82" s="91"/>
      <c r="P82" s="90">
        <v>0</v>
      </c>
      <c r="Q82" s="87">
        <v>1</v>
      </c>
      <c r="R82" s="87">
        <v>0</v>
      </c>
      <c r="S82" s="87">
        <v>0</v>
      </c>
      <c r="T82" s="87">
        <v>0</v>
      </c>
      <c r="U82" s="87">
        <v>1</v>
      </c>
      <c r="V82" s="193">
        <v>0</v>
      </c>
      <c r="W82" s="193">
        <v>0</v>
      </c>
      <c r="X82" s="193">
        <v>0</v>
      </c>
      <c r="Y82" s="193">
        <v>0</v>
      </c>
      <c r="Z82" s="193">
        <v>0</v>
      </c>
      <c r="AA82" s="193">
        <v>0</v>
      </c>
      <c r="AB82" s="193">
        <v>0</v>
      </c>
      <c r="AC82" s="193">
        <v>0</v>
      </c>
      <c r="AD82" s="193">
        <v>0</v>
      </c>
      <c r="AE82" s="193">
        <v>0</v>
      </c>
      <c r="AF82" s="193">
        <v>0</v>
      </c>
      <c r="AG82" s="193">
        <v>0</v>
      </c>
      <c r="AH82" s="193">
        <v>0</v>
      </c>
      <c r="AI82" s="193">
        <v>0</v>
      </c>
      <c r="AJ82" s="193">
        <v>0</v>
      </c>
      <c r="AL82" s="87">
        <f t="shared" si="24"/>
        <v>1</v>
      </c>
      <c r="AM82" s="87">
        <f t="shared" si="2"/>
        <v>0</v>
      </c>
      <c r="AN82" s="87">
        <f t="shared" si="3"/>
        <v>0</v>
      </c>
      <c r="AO82" s="87">
        <f t="shared" si="4"/>
        <v>0</v>
      </c>
      <c r="AP82" s="87">
        <f t="shared" si="5"/>
        <v>1</v>
      </c>
      <c r="AQ82" s="87">
        <f t="shared" si="6"/>
        <v>0</v>
      </c>
      <c r="AR82" s="87">
        <f t="shared" si="7"/>
        <v>0</v>
      </c>
      <c r="AS82" s="87">
        <f t="shared" si="8"/>
        <v>0</v>
      </c>
      <c r="AT82" s="87">
        <f t="shared" si="9"/>
        <v>0</v>
      </c>
      <c r="AU82" s="87">
        <f t="shared" si="10"/>
        <v>0</v>
      </c>
      <c r="AV82" s="87">
        <f t="shared" si="11"/>
        <v>0</v>
      </c>
      <c r="AW82" s="87">
        <f t="shared" si="12"/>
        <v>0</v>
      </c>
      <c r="AX82" s="87">
        <f t="shared" si="13"/>
        <v>0</v>
      </c>
      <c r="AY82" s="87">
        <f t="shared" si="14"/>
        <v>0</v>
      </c>
      <c r="AZ82" s="87">
        <f t="shared" si="15"/>
        <v>0</v>
      </c>
      <c r="BA82" s="87">
        <f t="shared" si="16"/>
        <v>0</v>
      </c>
      <c r="BB82" s="87">
        <f t="shared" si="17"/>
        <v>0</v>
      </c>
      <c r="BC82" s="87">
        <f t="shared" si="18"/>
        <v>0</v>
      </c>
      <c r="BD82" s="87">
        <f t="shared" si="19"/>
        <v>0</v>
      </c>
      <c r="BE82" s="87">
        <f t="shared" si="20"/>
        <v>0</v>
      </c>
    </row>
    <row r="83" spans="1:57" s="90" customFormat="1" ht="15" customHeight="1" x14ac:dyDescent="0.25">
      <c r="A83" s="187" t="b">
        <v>1</v>
      </c>
      <c r="B83" s="188" t="b">
        <v>1</v>
      </c>
      <c r="C83" s="179" t="e">
        <f t="shared" si="25"/>
        <v>#N/A</v>
      </c>
      <c r="E83" s="180">
        <v>2054</v>
      </c>
      <c r="F83" s="100">
        <f t="shared" si="23"/>
        <v>71</v>
      </c>
      <c r="G83" s="181">
        <f t="shared" si="26"/>
        <v>-1</v>
      </c>
      <c r="H83" s="181" t="e">
        <f t="shared" si="27"/>
        <v>#N/A</v>
      </c>
      <c r="J83" s="182">
        <v>0</v>
      </c>
      <c r="K83" s="101"/>
      <c r="L83" s="183" t="e">
        <f t="shared" si="22"/>
        <v>#N/A</v>
      </c>
      <c r="M83" s="184"/>
      <c r="N83" s="91"/>
      <c r="O83" s="91"/>
      <c r="P83" s="90">
        <v>0</v>
      </c>
      <c r="Q83" s="87">
        <v>1</v>
      </c>
      <c r="R83" s="185">
        <v>0</v>
      </c>
      <c r="S83" s="185">
        <v>0</v>
      </c>
      <c r="T83" s="185">
        <v>0</v>
      </c>
      <c r="U83" s="185">
        <v>0</v>
      </c>
      <c r="V83" s="182">
        <v>0</v>
      </c>
      <c r="W83" s="182">
        <v>0</v>
      </c>
      <c r="X83" s="182">
        <v>0</v>
      </c>
      <c r="Y83" s="182">
        <v>0</v>
      </c>
      <c r="Z83" s="182">
        <v>0</v>
      </c>
      <c r="AA83" s="182">
        <v>0</v>
      </c>
      <c r="AB83" s="182">
        <v>0</v>
      </c>
      <c r="AC83" s="182">
        <v>0</v>
      </c>
      <c r="AD83" s="182">
        <v>0</v>
      </c>
      <c r="AE83" s="182">
        <v>0</v>
      </c>
      <c r="AF83" s="182">
        <v>0</v>
      </c>
      <c r="AG83" s="182">
        <v>0</v>
      </c>
      <c r="AH83" s="182">
        <v>0</v>
      </c>
      <c r="AI83" s="182">
        <v>0</v>
      </c>
      <c r="AJ83" s="182">
        <v>0</v>
      </c>
      <c r="AL83" s="185">
        <f t="shared" si="24"/>
        <v>1</v>
      </c>
      <c r="AM83" s="185">
        <f t="shared" si="2"/>
        <v>0</v>
      </c>
      <c r="AN83" s="185">
        <f t="shared" si="3"/>
        <v>0</v>
      </c>
      <c r="AO83" s="185">
        <f t="shared" si="4"/>
        <v>0</v>
      </c>
      <c r="AP83" s="185">
        <f t="shared" si="5"/>
        <v>0</v>
      </c>
      <c r="AQ83" s="185">
        <f t="shared" si="6"/>
        <v>0</v>
      </c>
      <c r="AR83" s="185">
        <f t="shared" si="7"/>
        <v>0</v>
      </c>
      <c r="AS83" s="185">
        <f t="shared" si="8"/>
        <v>0</v>
      </c>
      <c r="AT83" s="185">
        <f t="shared" si="9"/>
        <v>0</v>
      </c>
      <c r="AU83" s="185">
        <f t="shared" si="10"/>
        <v>0</v>
      </c>
      <c r="AV83" s="185">
        <f t="shared" si="11"/>
        <v>0</v>
      </c>
      <c r="AW83" s="185">
        <f t="shared" si="12"/>
        <v>0</v>
      </c>
      <c r="AX83" s="185">
        <f t="shared" si="13"/>
        <v>0</v>
      </c>
      <c r="AY83" s="185">
        <f t="shared" si="14"/>
        <v>0</v>
      </c>
      <c r="AZ83" s="185">
        <f t="shared" si="15"/>
        <v>0</v>
      </c>
      <c r="BA83" s="185">
        <f t="shared" si="16"/>
        <v>0</v>
      </c>
      <c r="BB83" s="185">
        <f t="shared" si="17"/>
        <v>0</v>
      </c>
      <c r="BC83" s="185">
        <f t="shared" si="18"/>
        <v>0</v>
      </c>
      <c r="BD83" s="185">
        <f t="shared" si="19"/>
        <v>0</v>
      </c>
      <c r="BE83" s="185">
        <f t="shared" si="20"/>
        <v>0</v>
      </c>
    </row>
    <row r="84" spans="1:57" s="90" customFormat="1" ht="15" hidden="1" customHeight="1" x14ac:dyDescent="0.25">
      <c r="A84" s="187" t="b">
        <v>1</v>
      </c>
      <c r="B84" s="188" t="b">
        <v>1</v>
      </c>
      <c r="C84" s="179" t="e">
        <f t="shared" si="25"/>
        <v>#N/A</v>
      </c>
      <c r="E84" s="180">
        <v>2055</v>
      </c>
      <c r="F84" s="100">
        <f t="shared" si="23"/>
        <v>72</v>
      </c>
      <c r="G84" s="181">
        <f t="shared" si="26"/>
        <v>-2</v>
      </c>
      <c r="H84" s="181" t="e">
        <f t="shared" si="27"/>
        <v>#N/A</v>
      </c>
      <c r="J84" s="182">
        <v>0</v>
      </c>
      <c r="K84" s="101"/>
      <c r="L84" s="183" t="e">
        <f t="shared" si="22"/>
        <v>#N/A</v>
      </c>
      <c r="M84" s="184"/>
      <c r="N84" s="91"/>
      <c r="O84" s="91"/>
      <c r="P84" s="90">
        <v>0</v>
      </c>
      <c r="Q84" s="87">
        <v>1</v>
      </c>
      <c r="R84" s="185">
        <v>0</v>
      </c>
      <c r="S84" s="185">
        <v>0</v>
      </c>
      <c r="T84" s="185">
        <v>0</v>
      </c>
      <c r="U84" s="185">
        <v>0</v>
      </c>
      <c r="V84" s="182">
        <v>0</v>
      </c>
      <c r="W84" s="182">
        <v>0</v>
      </c>
      <c r="X84" s="182">
        <v>0</v>
      </c>
      <c r="Y84" s="182">
        <v>0</v>
      </c>
      <c r="Z84" s="182">
        <v>0</v>
      </c>
      <c r="AA84" s="182">
        <v>0</v>
      </c>
      <c r="AB84" s="182">
        <v>0</v>
      </c>
      <c r="AC84" s="182">
        <v>0</v>
      </c>
      <c r="AD84" s="182">
        <v>0</v>
      </c>
      <c r="AE84" s="182">
        <v>0</v>
      </c>
      <c r="AF84" s="182">
        <v>0</v>
      </c>
      <c r="AG84" s="182">
        <v>0</v>
      </c>
      <c r="AH84" s="182">
        <v>0</v>
      </c>
      <c r="AI84" s="182">
        <v>0</v>
      </c>
      <c r="AJ84" s="182">
        <v>0</v>
      </c>
      <c r="AL84" s="185">
        <f t="shared" si="24"/>
        <v>1</v>
      </c>
      <c r="AM84" s="185">
        <f t="shared" si="2"/>
        <v>0</v>
      </c>
      <c r="AN84" s="185">
        <f t="shared" si="3"/>
        <v>0</v>
      </c>
      <c r="AO84" s="185">
        <f t="shared" si="4"/>
        <v>0</v>
      </c>
      <c r="AP84" s="185">
        <f t="shared" si="5"/>
        <v>0</v>
      </c>
      <c r="AQ84" s="185">
        <f t="shared" si="6"/>
        <v>0</v>
      </c>
      <c r="AR84" s="185">
        <f t="shared" si="7"/>
        <v>0</v>
      </c>
      <c r="AS84" s="185">
        <f t="shared" si="8"/>
        <v>0</v>
      </c>
      <c r="AT84" s="185">
        <f t="shared" si="9"/>
        <v>0</v>
      </c>
      <c r="AU84" s="185">
        <f t="shared" si="10"/>
        <v>0</v>
      </c>
      <c r="AV84" s="185">
        <f t="shared" si="11"/>
        <v>0</v>
      </c>
      <c r="AW84" s="185">
        <f t="shared" si="12"/>
        <v>0</v>
      </c>
      <c r="AX84" s="185">
        <f t="shared" si="13"/>
        <v>0</v>
      </c>
      <c r="AY84" s="185">
        <f t="shared" si="14"/>
        <v>0</v>
      </c>
      <c r="AZ84" s="185">
        <f t="shared" si="15"/>
        <v>0</v>
      </c>
      <c r="BA84" s="185">
        <f t="shared" si="16"/>
        <v>0</v>
      </c>
      <c r="BB84" s="185">
        <f t="shared" si="17"/>
        <v>0</v>
      </c>
      <c r="BC84" s="185">
        <f t="shared" si="18"/>
        <v>0</v>
      </c>
      <c r="BD84" s="185">
        <f t="shared" si="19"/>
        <v>0</v>
      </c>
      <c r="BE84" s="185">
        <f t="shared" si="20"/>
        <v>0</v>
      </c>
    </row>
    <row r="85" spans="1:57" s="90" customFormat="1" ht="15" hidden="1" customHeight="1" x14ac:dyDescent="0.25">
      <c r="A85" s="187" t="b">
        <v>1</v>
      </c>
      <c r="B85" s="188" t="b">
        <v>1</v>
      </c>
      <c r="C85" s="179" t="e">
        <f t="shared" si="25"/>
        <v>#N/A</v>
      </c>
      <c r="E85" s="180">
        <v>2056</v>
      </c>
      <c r="F85" s="100">
        <f t="shared" si="23"/>
        <v>73</v>
      </c>
      <c r="G85" s="181">
        <f t="shared" si="26"/>
        <v>-3</v>
      </c>
      <c r="H85" s="181" t="e">
        <f t="shared" si="27"/>
        <v>#N/A</v>
      </c>
      <c r="J85" s="182">
        <v>0</v>
      </c>
      <c r="K85" s="101"/>
      <c r="L85" s="183" t="e">
        <f t="shared" si="22"/>
        <v>#N/A</v>
      </c>
      <c r="M85" s="184"/>
      <c r="N85" s="91"/>
      <c r="O85" s="91"/>
      <c r="P85" s="90">
        <v>0</v>
      </c>
      <c r="Q85" s="87">
        <v>1</v>
      </c>
      <c r="R85" s="185">
        <v>0</v>
      </c>
      <c r="S85" s="185">
        <v>0</v>
      </c>
      <c r="T85" s="185">
        <v>0</v>
      </c>
      <c r="U85" s="185">
        <v>0</v>
      </c>
      <c r="V85" s="182">
        <v>0</v>
      </c>
      <c r="W85" s="182">
        <v>0</v>
      </c>
      <c r="X85" s="182">
        <v>0</v>
      </c>
      <c r="Y85" s="182">
        <v>0</v>
      </c>
      <c r="Z85" s="182">
        <v>0</v>
      </c>
      <c r="AA85" s="182">
        <v>0</v>
      </c>
      <c r="AB85" s="182">
        <v>0</v>
      </c>
      <c r="AC85" s="182">
        <v>0</v>
      </c>
      <c r="AD85" s="182">
        <v>0</v>
      </c>
      <c r="AE85" s="182">
        <v>0</v>
      </c>
      <c r="AF85" s="182">
        <v>0</v>
      </c>
      <c r="AG85" s="182">
        <v>0</v>
      </c>
      <c r="AH85" s="182">
        <v>0</v>
      </c>
      <c r="AI85" s="182">
        <v>0</v>
      </c>
      <c r="AJ85" s="182">
        <v>0</v>
      </c>
      <c r="AL85" s="185">
        <f t="shared" si="24"/>
        <v>1</v>
      </c>
      <c r="AM85" s="185">
        <f t="shared" si="2"/>
        <v>0</v>
      </c>
      <c r="AN85" s="185">
        <f t="shared" si="3"/>
        <v>0</v>
      </c>
      <c r="AO85" s="185">
        <f t="shared" si="4"/>
        <v>0</v>
      </c>
      <c r="AP85" s="185">
        <f t="shared" si="5"/>
        <v>0</v>
      </c>
      <c r="AQ85" s="185">
        <f t="shared" si="6"/>
        <v>0</v>
      </c>
      <c r="AR85" s="185">
        <f t="shared" si="7"/>
        <v>0</v>
      </c>
      <c r="AS85" s="185">
        <f t="shared" si="8"/>
        <v>0</v>
      </c>
      <c r="AT85" s="185">
        <f t="shared" si="9"/>
        <v>0</v>
      </c>
      <c r="AU85" s="185">
        <f t="shared" si="10"/>
        <v>0</v>
      </c>
      <c r="AV85" s="185">
        <f t="shared" si="11"/>
        <v>0</v>
      </c>
      <c r="AW85" s="185">
        <f t="shared" si="12"/>
        <v>0</v>
      </c>
      <c r="AX85" s="185">
        <f t="shared" si="13"/>
        <v>0</v>
      </c>
      <c r="AY85" s="185">
        <f t="shared" si="14"/>
        <v>0</v>
      </c>
      <c r="AZ85" s="185">
        <f t="shared" si="15"/>
        <v>0</v>
      </c>
      <c r="BA85" s="185">
        <f t="shared" si="16"/>
        <v>0</v>
      </c>
      <c r="BB85" s="185">
        <f t="shared" si="17"/>
        <v>0</v>
      </c>
      <c r="BC85" s="185">
        <f t="shared" si="18"/>
        <v>0</v>
      </c>
      <c r="BD85" s="185">
        <f t="shared" si="19"/>
        <v>0</v>
      </c>
      <c r="BE85" s="185">
        <f t="shared" si="20"/>
        <v>0</v>
      </c>
    </row>
    <row r="86" spans="1:57" s="90" customFormat="1" ht="15" hidden="1" customHeight="1" x14ac:dyDescent="0.25">
      <c r="A86" s="187" t="b">
        <v>1</v>
      </c>
      <c r="B86" s="188" t="b">
        <v>1</v>
      </c>
      <c r="C86" s="179" t="e">
        <f t="shared" si="25"/>
        <v>#N/A</v>
      </c>
      <c r="E86" s="180">
        <v>2057</v>
      </c>
      <c r="F86" s="100">
        <f t="shared" si="23"/>
        <v>74</v>
      </c>
      <c r="G86" s="181">
        <f t="shared" si="26"/>
        <v>-4</v>
      </c>
      <c r="H86" s="181" t="e">
        <f t="shared" si="27"/>
        <v>#N/A</v>
      </c>
      <c r="J86" s="182">
        <v>0</v>
      </c>
      <c r="K86" s="101"/>
      <c r="L86" s="183" t="e">
        <f t="shared" si="22"/>
        <v>#N/A</v>
      </c>
      <c r="M86" s="184"/>
      <c r="N86" s="91"/>
      <c r="O86" s="91"/>
      <c r="P86" s="90">
        <v>0</v>
      </c>
      <c r="Q86" s="87">
        <v>1</v>
      </c>
      <c r="R86" s="185">
        <v>0</v>
      </c>
      <c r="S86" s="185">
        <v>0</v>
      </c>
      <c r="T86" s="185">
        <v>0</v>
      </c>
      <c r="U86" s="185">
        <v>0</v>
      </c>
      <c r="V86" s="182">
        <v>0</v>
      </c>
      <c r="W86" s="182">
        <v>0</v>
      </c>
      <c r="X86" s="182">
        <v>0</v>
      </c>
      <c r="Y86" s="182">
        <v>0</v>
      </c>
      <c r="Z86" s="182">
        <v>0</v>
      </c>
      <c r="AA86" s="182">
        <v>0</v>
      </c>
      <c r="AB86" s="182">
        <v>0</v>
      </c>
      <c r="AC86" s="182">
        <v>0</v>
      </c>
      <c r="AD86" s="182">
        <v>0</v>
      </c>
      <c r="AE86" s="182">
        <v>0</v>
      </c>
      <c r="AF86" s="182">
        <v>0</v>
      </c>
      <c r="AG86" s="182">
        <v>0</v>
      </c>
      <c r="AH86" s="182">
        <v>0</v>
      </c>
      <c r="AI86" s="182">
        <v>0</v>
      </c>
      <c r="AJ86" s="182">
        <v>0</v>
      </c>
      <c r="AL86" s="185">
        <f t="shared" si="24"/>
        <v>1</v>
      </c>
      <c r="AM86" s="185">
        <f t="shared" si="2"/>
        <v>0</v>
      </c>
      <c r="AN86" s="185">
        <f t="shared" si="3"/>
        <v>0</v>
      </c>
      <c r="AO86" s="185">
        <f t="shared" si="4"/>
        <v>0</v>
      </c>
      <c r="AP86" s="185">
        <f t="shared" si="5"/>
        <v>0</v>
      </c>
      <c r="AQ86" s="185">
        <f t="shared" si="6"/>
        <v>0</v>
      </c>
      <c r="AR86" s="185">
        <f t="shared" si="7"/>
        <v>0</v>
      </c>
      <c r="AS86" s="185">
        <f t="shared" si="8"/>
        <v>0</v>
      </c>
      <c r="AT86" s="185">
        <f t="shared" si="9"/>
        <v>0</v>
      </c>
      <c r="AU86" s="185">
        <f t="shared" si="10"/>
        <v>0</v>
      </c>
      <c r="AV86" s="185">
        <f t="shared" si="11"/>
        <v>0</v>
      </c>
      <c r="AW86" s="185">
        <f t="shared" si="12"/>
        <v>0</v>
      </c>
      <c r="AX86" s="185">
        <f t="shared" si="13"/>
        <v>0</v>
      </c>
      <c r="AY86" s="185">
        <f t="shared" si="14"/>
        <v>0</v>
      </c>
      <c r="AZ86" s="185">
        <f t="shared" si="15"/>
        <v>0</v>
      </c>
      <c r="BA86" s="185">
        <f t="shared" si="16"/>
        <v>0</v>
      </c>
      <c r="BB86" s="185">
        <f t="shared" si="17"/>
        <v>0</v>
      </c>
      <c r="BC86" s="185">
        <f t="shared" si="18"/>
        <v>0</v>
      </c>
      <c r="BD86" s="185">
        <f t="shared" si="19"/>
        <v>0</v>
      </c>
      <c r="BE86" s="185">
        <f t="shared" si="20"/>
        <v>0</v>
      </c>
    </row>
    <row r="87" spans="1:57" s="90" customFormat="1" ht="15" hidden="1" customHeight="1" x14ac:dyDescent="0.25">
      <c r="A87" s="187" t="b">
        <v>1</v>
      </c>
      <c r="B87" s="188" t="b">
        <v>1</v>
      </c>
      <c r="C87" s="179" t="e">
        <f t="shared" si="25"/>
        <v>#N/A</v>
      </c>
      <c r="E87" s="180">
        <v>2058</v>
      </c>
      <c r="F87" s="100">
        <f t="shared" si="23"/>
        <v>75</v>
      </c>
      <c r="G87" s="181">
        <f t="shared" si="26"/>
        <v>-5</v>
      </c>
      <c r="H87" s="181" t="e">
        <f t="shared" si="27"/>
        <v>#N/A</v>
      </c>
      <c r="J87" s="182">
        <v>0</v>
      </c>
      <c r="K87" s="101"/>
      <c r="L87" s="183" t="e">
        <f t="shared" si="22"/>
        <v>#N/A</v>
      </c>
      <c r="M87" s="184"/>
      <c r="N87" s="91"/>
      <c r="O87" s="91"/>
      <c r="P87" s="90">
        <v>0</v>
      </c>
      <c r="Q87" s="87">
        <v>1</v>
      </c>
      <c r="R87" s="185">
        <v>0</v>
      </c>
      <c r="S87" s="185">
        <v>0</v>
      </c>
      <c r="T87" s="185">
        <v>0</v>
      </c>
      <c r="U87" s="185">
        <v>0</v>
      </c>
      <c r="V87" s="182">
        <v>0</v>
      </c>
      <c r="W87" s="182">
        <v>0</v>
      </c>
      <c r="X87" s="182">
        <v>0</v>
      </c>
      <c r="Y87" s="182">
        <v>0</v>
      </c>
      <c r="Z87" s="182">
        <v>0</v>
      </c>
      <c r="AA87" s="182">
        <v>0</v>
      </c>
      <c r="AB87" s="182">
        <v>0</v>
      </c>
      <c r="AC87" s="182">
        <v>0</v>
      </c>
      <c r="AD87" s="182">
        <v>0</v>
      </c>
      <c r="AE87" s="182">
        <v>0</v>
      </c>
      <c r="AF87" s="182">
        <v>0</v>
      </c>
      <c r="AG87" s="182">
        <v>0</v>
      </c>
      <c r="AH87" s="182">
        <v>0</v>
      </c>
      <c r="AI87" s="182">
        <v>0</v>
      </c>
      <c r="AJ87" s="182">
        <v>0</v>
      </c>
      <c r="AL87" s="185">
        <f t="shared" si="24"/>
        <v>1</v>
      </c>
      <c r="AM87" s="185">
        <f t="shared" si="2"/>
        <v>0</v>
      </c>
      <c r="AN87" s="185">
        <f t="shared" si="3"/>
        <v>0</v>
      </c>
      <c r="AO87" s="185">
        <f t="shared" si="4"/>
        <v>0</v>
      </c>
      <c r="AP87" s="185">
        <f t="shared" si="5"/>
        <v>0</v>
      </c>
      <c r="AQ87" s="185">
        <f t="shared" si="6"/>
        <v>0</v>
      </c>
      <c r="AR87" s="185">
        <f t="shared" si="7"/>
        <v>0</v>
      </c>
      <c r="AS87" s="185">
        <f t="shared" si="8"/>
        <v>0</v>
      </c>
      <c r="AT87" s="185">
        <f t="shared" si="9"/>
        <v>0</v>
      </c>
      <c r="AU87" s="185">
        <f t="shared" si="10"/>
        <v>0</v>
      </c>
      <c r="AV87" s="185">
        <f t="shared" si="11"/>
        <v>0</v>
      </c>
      <c r="AW87" s="185">
        <f t="shared" si="12"/>
        <v>0</v>
      </c>
      <c r="AX87" s="185">
        <f t="shared" si="13"/>
        <v>0</v>
      </c>
      <c r="AY87" s="185">
        <f t="shared" si="14"/>
        <v>0</v>
      </c>
      <c r="AZ87" s="185">
        <f t="shared" si="15"/>
        <v>0</v>
      </c>
      <c r="BA87" s="185">
        <f t="shared" si="16"/>
        <v>0</v>
      </c>
      <c r="BB87" s="185">
        <f t="shared" si="17"/>
        <v>0</v>
      </c>
      <c r="BC87" s="185">
        <f t="shared" si="18"/>
        <v>0</v>
      </c>
      <c r="BD87" s="185">
        <f t="shared" si="19"/>
        <v>0</v>
      </c>
      <c r="BE87" s="185">
        <f t="shared" si="20"/>
        <v>0</v>
      </c>
    </row>
    <row r="88" spans="1:57" s="90" customFormat="1" ht="15" hidden="1" customHeight="1" x14ac:dyDescent="0.25">
      <c r="A88" s="187" t="b">
        <v>1</v>
      </c>
      <c r="B88" s="188" t="b">
        <v>1</v>
      </c>
      <c r="C88" s="179" t="e">
        <f t="shared" si="25"/>
        <v>#N/A</v>
      </c>
      <c r="E88" s="180">
        <v>2059</v>
      </c>
      <c r="F88" s="100">
        <f t="shared" si="23"/>
        <v>76</v>
      </c>
      <c r="G88" s="181">
        <f t="shared" si="26"/>
        <v>-6</v>
      </c>
      <c r="H88" s="181" t="e">
        <f t="shared" si="27"/>
        <v>#N/A</v>
      </c>
      <c r="J88" s="182">
        <v>0</v>
      </c>
      <c r="K88" s="101"/>
      <c r="L88" s="183" t="e">
        <f t="shared" si="22"/>
        <v>#N/A</v>
      </c>
      <c r="M88" s="184"/>
      <c r="N88" s="91"/>
      <c r="O88" s="91"/>
      <c r="P88" s="90">
        <v>0</v>
      </c>
      <c r="Q88" s="87">
        <v>1</v>
      </c>
      <c r="R88" s="185">
        <v>0</v>
      </c>
      <c r="S88" s="185">
        <v>0</v>
      </c>
      <c r="T88" s="185">
        <v>0</v>
      </c>
      <c r="U88" s="185">
        <v>0</v>
      </c>
      <c r="V88" s="182">
        <v>0</v>
      </c>
      <c r="W88" s="182">
        <v>0</v>
      </c>
      <c r="X88" s="182">
        <v>0</v>
      </c>
      <c r="Y88" s="182">
        <v>0</v>
      </c>
      <c r="Z88" s="182">
        <v>0</v>
      </c>
      <c r="AA88" s="182">
        <v>0</v>
      </c>
      <c r="AB88" s="182">
        <v>0</v>
      </c>
      <c r="AC88" s="182">
        <v>0</v>
      </c>
      <c r="AD88" s="182">
        <v>0</v>
      </c>
      <c r="AE88" s="182">
        <v>0</v>
      </c>
      <c r="AF88" s="182">
        <v>0</v>
      </c>
      <c r="AG88" s="182">
        <v>0</v>
      </c>
      <c r="AH88" s="182">
        <v>0</v>
      </c>
      <c r="AI88" s="182">
        <v>0</v>
      </c>
      <c r="AJ88" s="182">
        <v>0</v>
      </c>
      <c r="AL88" s="185">
        <f t="shared" si="24"/>
        <v>1</v>
      </c>
      <c r="AM88" s="185">
        <f t="shared" si="2"/>
        <v>0</v>
      </c>
      <c r="AN88" s="185">
        <f t="shared" si="3"/>
        <v>0</v>
      </c>
      <c r="AO88" s="185">
        <f t="shared" si="4"/>
        <v>0</v>
      </c>
      <c r="AP88" s="185">
        <f t="shared" si="5"/>
        <v>0</v>
      </c>
      <c r="AQ88" s="185">
        <f t="shared" si="6"/>
        <v>0</v>
      </c>
      <c r="AR88" s="185">
        <f t="shared" si="7"/>
        <v>0</v>
      </c>
      <c r="AS88" s="185">
        <f t="shared" si="8"/>
        <v>0</v>
      </c>
      <c r="AT88" s="185">
        <f t="shared" si="9"/>
        <v>0</v>
      </c>
      <c r="AU88" s="185">
        <f t="shared" si="10"/>
        <v>0</v>
      </c>
      <c r="AV88" s="185">
        <f t="shared" si="11"/>
        <v>0</v>
      </c>
      <c r="AW88" s="185">
        <f t="shared" si="12"/>
        <v>0</v>
      </c>
      <c r="AX88" s="185">
        <f t="shared" si="13"/>
        <v>0</v>
      </c>
      <c r="AY88" s="185">
        <f t="shared" si="14"/>
        <v>0</v>
      </c>
      <c r="AZ88" s="185">
        <f t="shared" si="15"/>
        <v>0</v>
      </c>
      <c r="BA88" s="185">
        <f t="shared" si="16"/>
        <v>0</v>
      </c>
      <c r="BB88" s="185">
        <f t="shared" si="17"/>
        <v>0</v>
      </c>
      <c r="BC88" s="185">
        <f t="shared" si="18"/>
        <v>0</v>
      </c>
      <c r="BD88" s="185">
        <f t="shared" si="19"/>
        <v>0</v>
      </c>
      <c r="BE88" s="185">
        <f t="shared" si="20"/>
        <v>0</v>
      </c>
    </row>
    <row r="89" spans="1:57" s="90" customFormat="1" ht="15" hidden="1" customHeight="1" x14ac:dyDescent="0.25">
      <c r="A89" s="187" t="b">
        <v>1</v>
      </c>
      <c r="B89" s="188" t="b">
        <v>1</v>
      </c>
      <c r="C89" s="179" t="e">
        <f t="shared" si="25"/>
        <v>#N/A</v>
      </c>
      <c r="E89" s="180">
        <v>2060</v>
      </c>
      <c r="F89" s="100">
        <f t="shared" si="23"/>
        <v>77</v>
      </c>
      <c r="G89" s="181">
        <f t="shared" si="26"/>
        <v>-7</v>
      </c>
      <c r="H89" s="181" t="e">
        <f t="shared" si="27"/>
        <v>#N/A</v>
      </c>
      <c r="J89" s="182">
        <v>0</v>
      </c>
      <c r="K89" s="101"/>
      <c r="L89" s="183" t="e">
        <f t="shared" si="22"/>
        <v>#N/A</v>
      </c>
      <c r="M89" s="184"/>
      <c r="N89" s="91"/>
      <c r="O89" s="91"/>
      <c r="P89" s="90">
        <v>0</v>
      </c>
      <c r="Q89" s="87">
        <v>1</v>
      </c>
      <c r="R89" s="185">
        <v>0</v>
      </c>
      <c r="S89" s="185">
        <v>0</v>
      </c>
      <c r="T89" s="185">
        <v>0</v>
      </c>
      <c r="U89" s="185">
        <v>0</v>
      </c>
      <c r="V89" s="182">
        <v>0</v>
      </c>
      <c r="W89" s="182">
        <v>0</v>
      </c>
      <c r="X89" s="182">
        <v>0</v>
      </c>
      <c r="Y89" s="182">
        <v>0</v>
      </c>
      <c r="Z89" s="182">
        <v>0</v>
      </c>
      <c r="AA89" s="182">
        <v>0</v>
      </c>
      <c r="AB89" s="182">
        <v>0</v>
      </c>
      <c r="AC89" s="182">
        <v>0</v>
      </c>
      <c r="AD89" s="182">
        <v>0</v>
      </c>
      <c r="AE89" s="182">
        <v>0</v>
      </c>
      <c r="AF89" s="182">
        <v>0</v>
      </c>
      <c r="AG89" s="182">
        <v>0</v>
      </c>
      <c r="AH89" s="182">
        <v>0</v>
      </c>
      <c r="AI89" s="182">
        <v>0</v>
      </c>
      <c r="AJ89" s="182">
        <v>0</v>
      </c>
      <c r="AL89" s="185">
        <f t="shared" si="24"/>
        <v>1</v>
      </c>
      <c r="AM89" s="185">
        <f t="shared" si="2"/>
        <v>0</v>
      </c>
      <c r="AN89" s="185">
        <f t="shared" si="3"/>
        <v>0</v>
      </c>
      <c r="AO89" s="185">
        <f t="shared" si="4"/>
        <v>0</v>
      </c>
      <c r="AP89" s="185">
        <f t="shared" si="5"/>
        <v>0</v>
      </c>
      <c r="AQ89" s="185">
        <f t="shared" si="6"/>
        <v>0</v>
      </c>
      <c r="AR89" s="185">
        <f t="shared" si="7"/>
        <v>0</v>
      </c>
      <c r="AS89" s="185">
        <f t="shared" si="8"/>
        <v>0</v>
      </c>
      <c r="AT89" s="185">
        <f t="shared" si="9"/>
        <v>0</v>
      </c>
      <c r="AU89" s="185">
        <f t="shared" si="10"/>
        <v>0</v>
      </c>
      <c r="AV89" s="185">
        <f t="shared" si="11"/>
        <v>0</v>
      </c>
      <c r="AW89" s="185">
        <f t="shared" si="12"/>
        <v>0</v>
      </c>
      <c r="AX89" s="185">
        <f t="shared" si="13"/>
        <v>0</v>
      </c>
      <c r="AY89" s="185">
        <f t="shared" si="14"/>
        <v>0</v>
      </c>
      <c r="AZ89" s="185">
        <f t="shared" si="15"/>
        <v>0</v>
      </c>
      <c r="BA89" s="185">
        <f t="shared" si="16"/>
        <v>0</v>
      </c>
      <c r="BB89" s="185">
        <f t="shared" si="17"/>
        <v>0</v>
      </c>
      <c r="BC89" s="185">
        <f t="shared" si="18"/>
        <v>0</v>
      </c>
      <c r="BD89" s="185">
        <f t="shared" si="19"/>
        <v>0</v>
      </c>
      <c r="BE89" s="185">
        <f t="shared" si="20"/>
        <v>0</v>
      </c>
    </row>
    <row r="90" spans="1:57" s="90" customFormat="1" ht="15" hidden="1" customHeight="1" x14ac:dyDescent="0.25">
      <c r="A90" s="187" t="b">
        <v>1</v>
      </c>
      <c r="B90" s="188" t="b">
        <v>1</v>
      </c>
      <c r="C90" s="179" t="e">
        <f t="shared" si="25"/>
        <v>#N/A</v>
      </c>
      <c r="E90" s="180">
        <v>2061</v>
      </c>
      <c r="F90" s="100">
        <f t="shared" si="23"/>
        <v>78</v>
      </c>
      <c r="G90" s="181">
        <f t="shared" si="26"/>
        <v>-8</v>
      </c>
      <c r="H90" s="181" t="e">
        <f t="shared" si="27"/>
        <v>#N/A</v>
      </c>
      <c r="J90" s="182">
        <v>0</v>
      </c>
      <c r="K90" s="101"/>
      <c r="L90" s="183" t="e">
        <f t="shared" si="22"/>
        <v>#N/A</v>
      </c>
      <c r="M90" s="184"/>
      <c r="N90" s="91"/>
      <c r="O90" s="91"/>
      <c r="P90" s="90">
        <v>0</v>
      </c>
      <c r="Q90" s="87">
        <v>1</v>
      </c>
      <c r="R90" s="185">
        <v>0</v>
      </c>
      <c r="S90" s="185">
        <v>0</v>
      </c>
      <c r="T90" s="185">
        <v>0</v>
      </c>
      <c r="U90" s="185">
        <v>0</v>
      </c>
      <c r="V90" s="182">
        <v>0</v>
      </c>
      <c r="W90" s="182">
        <v>0</v>
      </c>
      <c r="X90" s="182">
        <v>0</v>
      </c>
      <c r="Y90" s="182">
        <v>0</v>
      </c>
      <c r="Z90" s="182">
        <v>0</v>
      </c>
      <c r="AA90" s="182">
        <v>0</v>
      </c>
      <c r="AB90" s="182">
        <v>0</v>
      </c>
      <c r="AC90" s="182">
        <v>0</v>
      </c>
      <c r="AD90" s="182">
        <v>0</v>
      </c>
      <c r="AE90" s="182">
        <v>0</v>
      </c>
      <c r="AF90" s="182">
        <v>0</v>
      </c>
      <c r="AG90" s="182">
        <v>0</v>
      </c>
      <c r="AH90" s="182">
        <v>0</v>
      </c>
      <c r="AI90" s="182">
        <v>0</v>
      </c>
      <c r="AJ90" s="182">
        <v>0</v>
      </c>
      <c r="AL90" s="185">
        <f t="shared" si="24"/>
        <v>1</v>
      </c>
      <c r="AM90" s="185">
        <f t="shared" si="2"/>
        <v>0</v>
      </c>
      <c r="AN90" s="185">
        <f t="shared" si="3"/>
        <v>0</v>
      </c>
      <c r="AO90" s="185">
        <f t="shared" si="4"/>
        <v>0</v>
      </c>
      <c r="AP90" s="185">
        <f t="shared" si="5"/>
        <v>0</v>
      </c>
      <c r="AQ90" s="185">
        <f t="shared" si="6"/>
        <v>0</v>
      </c>
      <c r="AR90" s="185">
        <f t="shared" si="7"/>
        <v>0</v>
      </c>
      <c r="AS90" s="185">
        <f t="shared" si="8"/>
        <v>0</v>
      </c>
      <c r="AT90" s="185">
        <f t="shared" si="9"/>
        <v>0</v>
      </c>
      <c r="AU90" s="185">
        <f t="shared" si="10"/>
        <v>0</v>
      </c>
      <c r="AV90" s="185">
        <f t="shared" si="11"/>
        <v>0</v>
      </c>
      <c r="AW90" s="185">
        <f t="shared" si="12"/>
        <v>0</v>
      </c>
      <c r="AX90" s="185">
        <f t="shared" si="13"/>
        <v>0</v>
      </c>
      <c r="AY90" s="185">
        <f t="shared" si="14"/>
        <v>0</v>
      </c>
      <c r="AZ90" s="185">
        <f t="shared" si="15"/>
        <v>0</v>
      </c>
      <c r="BA90" s="185">
        <f t="shared" si="16"/>
        <v>0</v>
      </c>
      <c r="BB90" s="185">
        <f t="shared" si="17"/>
        <v>0</v>
      </c>
      <c r="BC90" s="185">
        <f t="shared" si="18"/>
        <v>0</v>
      </c>
      <c r="BD90" s="185">
        <f t="shared" si="19"/>
        <v>0</v>
      </c>
      <c r="BE90" s="185">
        <f t="shared" si="20"/>
        <v>0</v>
      </c>
    </row>
    <row r="91" spans="1:57" s="90" customFormat="1" ht="15" hidden="1" customHeight="1" x14ac:dyDescent="0.25">
      <c r="A91" s="187" t="b">
        <v>1</v>
      </c>
      <c r="B91" s="188" t="b">
        <v>1</v>
      </c>
      <c r="C91" s="179" t="e">
        <f t="shared" si="25"/>
        <v>#N/A</v>
      </c>
      <c r="E91" s="180">
        <v>2062</v>
      </c>
      <c r="F91" s="100">
        <f t="shared" si="23"/>
        <v>79</v>
      </c>
      <c r="G91" s="181">
        <f t="shared" si="26"/>
        <v>-9</v>
      </c>
      <c r="H91" s="181" t="e">
        <f t="shared" si="27"/>
        <v>#N/A</v>
      </c>
      <c r="J91" s="182">
        <v>0</v>
      </c>
      <c r="K91" s="101"/>
      <c r="L91" s="183" t="e">
        <f t="shared" si="22"/>
        <v>#N/A</v>
      </c>
      <c r="M91" s="184"/>
      <c r="N91" s="91"/>
      <c r="O91" s="91"/>
      <c r="P91" s="90">
        <v>0</v>
      </c>
      <c r="Q91" s="87">
        <v>1</v>
      </c>
      <c r="R91" s="185">
        <v>0</v>
      </c>
      <c r="S91" s="185">
        <v>0</v>
      </c>
      <c r="T91" s="185">
        <v>0</v>
      </c>
      <c r="U91" s="185">
        <v>0</v>
      </c>
      <c r="V91" s="182">
        <v>0</v>
      </c>
      <c r="W91" s="182">
        <v>0</v>
      </c>
      <c r="X91" s="182">
        <v>0</v>
      </c>
      <c r="Y91" s="182">
        <v>0</v>
      </c>
      <c r="Z91" s="182">
        <v>0</v>
      </c>
      <c r="AA91" s="182">
        <v>0</v>
      </c>
      <c r="AB91" s="182">
        <v>0</v>
      </c>
      <c r="AC91" s="182">
        <v>0</v>
      </c>
      <c r="AD91" s="182">
        <v>0</v>
      </c>
      <c r="AE91" s="182">
        <v>0</v>
      </c>
      <c r="AF91" s="182">
        <v>0</v>
      </c>
      <c r="AG91" s="182">
        <v>0</v>
      </c>
      <c r="AH91" s="182">
        <v>0</v>
      </c>
      <c r="AI91" s="182">
        <v>0</v>
      </c>
      <c r="AJ91" s="182">
        <v>0</v>
      </c>
      <c r="AL91" s="185">
        <f t="shared" si="24"/>
        <v>1</v>
      </c>
      <c r="AM91" s="185">
        <f t="shared" si="2"/>
        <v>0</v>
      </c>
      <c r="AN91" s="185">
        <f t="shared" si="3"/>
        <v>0</v>
      </c>
      <c r="AO91" s="185">
        <f t="shared" si="4"/>
        <v>0</v>
      </c>
      <c r="AP91" s="185">
        <f t="shared" si="5"/>
        <v>0</v>
      </c>
      <c r="AQ91" s="185">
        <f t="shared" si="6"/>
        <v>0</v>
      </c>
      <c r="AR91" s="185">
        <f t="shared" si="7"/>
        <v>0</v>
      </c>
      <c r="AS91" s="185">
        <f t="shared" si="8"/>
        <v>0</v>
      </c>
      <c r="AT91" s="185">
        <f t="shared" si="9"/>
        <v>0</v>
      </c>
      <c r="AU91" s="185">
        <f t="shared" si="10"/>
        <v>0</v>
      </c>
      <c r="AV91" s="185">
        <f t="shared" si="11"/>
        <v>0</v>
      </c>
      <c r="AW91" s="185">
        <f t="shared" si="12"/>
        <v>0</v>
      </c>
      <c r="AX91" s="185">
        <f t="shared" si="13"/>
        <v>0</v>
      </c>
      <c r="AY91" s="185">
        <f t="shared" si="14"/>
        <v>0</v>
      </c>
      <c r="AZ91" s="185">
        <f t="shared" si="15"/>
        <v>0</v>
      </c>
      <c r="BA91" s="185">
        <f t="shared" si="16"/>
        <v>0</v>
      </c>
      <c r="BB91" s="185">
        <f t="shared" si="17"/>
        <v>0</v>
      </c>
      <c r="BC91" s="185">
        <f t="shared" si="18"/>
        <v>0</v>
      </c>
      <c r="BD91" s="185">
        <f t="shared" si="19"/>
        <v>0</v>
      </c>
      <c r="BE91" s="185">
        <f t="shared" si="20"/>
        <v>0</v>
      </c>
    </row>
    <row r="92" spans="1:57" s="90" customFormat="1" ht="15" hidden="1" customHeight="1" x14ac:dyDescent="0.25">
      <c r="A92" s="187" t="b">
        <v>1</v>
      </c>
      <c r="B92" s="188" t="b">
        <v>1</v>
      </c>
      <c r="C92" s="179" t="e">
        <f t="shared" si="25"/>
        <v>#N/A</v>
      </c>
      <c r="E92" s="180">
        <v>2063</v>
      </c>
      <c r="F92" s="100">
        <f t="shared" si="23"/>
        <v>80</v>
      </c>
      <c r="G92" s="181">
        <f t="shared" si="26"/>
        <v>-10</v>
      </c>
      <c r="H92" s="181" t="e">
        <f t="shared" si="27"/>
        <v>#N/A</v>
      </c>
      <c r="J92" s="182">
        <v>0</v>
      </c>
      <c r="K92" s="101"/>
      <c r="L92" s="183" t="e">
        <f t="shared" si="22"/>
        <v>#N/A</v>
      </c>
      <c r="M92" s="184"/>
      <c r="N92" s="91"/>
      <c r="O92" s="91"/>
      <c r="P92" s="90">
        <v>0</v>
      </c>
      <c r="Q92" s="87">
        <v>1</v>
      </c>
      <c r="R92" s="185">
        <v>0</v>
      </c>
      <c r="S92" s="185">
        <v>0</v>
      </c>
      <c r="T92" s="185">
        <v>0</v>
      </c>
      <c r="U92" s="185">
        <v>0</v>
      </c>
      <c r="V92" s="182">
        <v>0</v>
      </c>
      <c r="W92" s="182">
        <v>0</v>
      </c>
      <c r="X92" s="182">
        <v>0</v>
      </c>
      <c r="Y92" s="182">
        <v>0</v>
      </c>
      <c r="Z92" s="182">
        <v>0</v>
      </c>
      <c r="AA92" s="182">
        <v>0</v>
      </c>
      <c r="AB92" s="182">
        <v>0</v>
      </c>
      <c r="AC92" s="182">
        <v>0</v>
      </c>
      <c r="AD92" s="182">
        <v>0</v>
      </c>
      <c r="AE92" s="182">
        <v>0</v>
      </c>
      <c r="AF92" s="182">
        <v>0</v>
      </c>
      <c r="AG92" s="182">
        <v>0</v>
      </c>
      <c r="AH92" s="182">
        <v>0</v>
      </c>
      <c r="AI92" s="182">
        <v>0</v>
      </c>
      <c r="AJ92" s="182">
        <v>0</v>
      </c>
      <c r="AL92" s="185">
        <f t="shared" si="24"/>
        <v>1</v>
      </c>
      <c r="AM92" s="185">
        <f t="shared" si="2"/>
        <v>0</v>
      </c>
      <c r="AN92" s="185">
        <f t="shared" si="3"/>
        <v>0</v>
      </c>
      <c r="AO92" s="185">
        <f t="shared" si="4"/>
        <v>0</v>
      </c>
      <c r="AP92" s="185">
        <f t="shared" si="5"/>
        <v>0</v>
      </c>
      <c r="AQ92" s="185">
        <f t="shared" si="6"/>
        <v>0</v>
      </c>
      <c r="AR92" s="185">
        <f t="shared" si="7"/>
        <v>0</v>
      </c>
      <c r="AS92" s="185">
        <f t="shared" si="8"/>
        <v>0</v>
      </c>
      <c r="AT92" s="185">
        <f t="shared" si="9"/>
        <v>0</v>
      </c>
      <c r="AU92" s="185">
        <f t="shared" si="10"/>
        <v>0</v>
      </c>
      <c r="AV92" s="185">
        <f t="shared" si="11"/>
        <v>0</v>
      </c>
      <c r="AW92" s="185">
        <f t="shared" si="12"/>
        <v>0</v>
      </c>
      <c r="AX92" s="185">
        <f t="shared" si="13"/>
        <v>0</v>
      </c>
      <c r="AY92" s="185">
        <f t="shared" si="14"/>
        <v>0</v>
      </c>
      <c r="AZ92" s="185">
        <f t="shared" si="15"/>
        <v>0</v>
      </c>
      <c r="BA92" s="185">
        <f t="shared" si="16"/>
        <v>0</v>
      </c>
      <c r="BB92" s="185">
        <f t="shared" si="17"/>
        <v>0</v>
      </c>
      <c r="BC92" s="185">
        <f t="shared" si="18"/>
        <v>0</v>
      </c>
      <c r="BD92" s="185">
        <f t="shared" si="19"/>
        <v>0</v>
      </c>
      <c r="BE92" s="185">
        <f t="shared" si="20"/>
        <v>0</v>
      </c>
    </row>
    <row r="93" spans="1:57" s="90" customFormat="1" ht="15" hidden="1" customHeight="1" x14ac:dyDescent="0.25">
      <c r="A93" s="187" t="b">
        <v>1</v>
      </c>
      <c r="B93" s="188" t="b">
        <v>1</v>
      </c>
      <c r="C93" s="179" t="e">
        <f t="shared" si="25"/>
        <v>#N/A</v>
      </c>
      <c r="E93" s="180">
        <v>2064</v>
      </c>
      <c r="F93" s="100">
        <f t="shared" si="23"/>
        <v>81</v>
      </c>
      <c r="G93" s="181">
        <f t="shared" si="26"/>
        <v>-11</v>
      </c>
      <c r="H93" s="181" t="e">
        <f t="shared" si="27"/>
        <v>#N/A</v>
      </c>
      <c r="J93" s="182">
        <v>0</v>
      </c>
      <c r="K93" s="101"/>
      <c r="L93" s="183" t="e">
        <f t="shared" si="22"/>
        <v>#N/A</v>
      </c>
      <c r="M93" s="184"/>
      <c r="N93" s="91"/>
      <c r="O93" s="91"/>
      <c r="P93" s="90">
        <v>0</v>
      </c>
      <c r="Q93" s="87">
        <v>1</v>
      </c>
      <c r="R93" s="185">
        <v>0</v>
      </c>
      <c r="S93" s="185">
        <v>0</v>
      </c>
      <c r="T93" s="185">
        <v>0</v>
      </c>
      <c r="U93" s="185">
        <v>0</v>
      </c>
      <c r="V93" s="182">
        <v>0</v>
      </c>
      <c r="W93" s="182">
        <v>0</v>
      </c>
      <c r="X93" s="182">
        <v>0</v>
      </c>
      <c r="Y93" s="182">
        <v>0</v>
      </c>
      <c r="Z93" s="182">
        <v>0</v>
      </c>
      <c r="AA93" s="182">
        <v>0</v>
      </c>
      <c r="AB93" s="182">
        <v>0</v>
      </c>
      <c r="AC93" s="182">
        <v>0</v>
      </c>
      <c r="AD93" s="182">
        <v>0</v>
      </c>
      <c r="AE93" s="182">
        <v>0</v>
      </c>
      <c r="AF93" s="182">
        <v>0</v>
      </c>
      <c r="AG93" s="182">
        <v>0</v>
      </c>
      <c r="AH93" s="182">
        <v>0</v>
      </c>
      <c r="AI93" s="182">
        <v>0</v>
      </c>
      <c r="AJ93" s="182">
        <v>0</v>
      </c>
      <c r="AL93" s="185">
        <f t="shared" si="24"/>
        <v>1</v>
      </c>
      <c r="AM93" s="185">
        <f t="shared" si="2"/>
        <v>0</v>
      </c>
      <c r="AN93" s="185">
        <f t="shared" si="3"/>
        <v>0</v>
      </c>
      <c r="AO93" s="185">
        <f t="shared" si="4"/>
        <v>0</v>
      </c>
      <c r="AP93" s="185">
        <f t="shared" si="5"/>
        <v>0</v>
      </c>
      <c r="AQ93" s="185">
        <f t="shared" si="6"/>
        <v>0</v>
      </c>
      <c r="AR93" s="185">
        <f t="shared" si="7"/>
        <v>0</v>
      </c>
      <c r="AS93" s="185">
        <f t="shared" si="8"/>
        <v>0</v>
      </c>
      <c r="AT93" s="185">
        <f t="shared" si="9"/>
        <v>0</v>
      </c>
      <c r="AU93" s="185">
        <f t="shared" si="10"/>
        <v>0</v>
      </c>
      <c r="AV93" s="185">
        <f t="shared" si="11"/>
        <v>0</v>
      </c>
      <c r="AW93" s="185">
        <f t="shared" si="12"/>
        <v>0</v>
      </c>
      <c r="AX93" s="185">
        <f t="shared" si="13"/>
        <v>0</v>
      </c>
      <c r="AY93" s="185">
        <f t="shared" si="14"/>
        <v>0</v>
      </c>
      <c r="AZ93" s="185">
        <f t="shared" si="15"/>
        <v>0</v>
      </c>
      <c r="BA93" s="185">
        <f t="shared" si="16"/>
        <v>0</v>
      </c>
      <c r="BB93" s="185">
        <f t="shared" si="17"/>
        <v>0</v>
      </c>
      <c r="BC93" s="185">
        <f t="shared" si="18"/>
        <v>0</v>
      </c>
      <c r="BD93" s="185">
        <f t="shared" si="19"/>
        <v>0</v>
      </c>
      <c r="BE93" s="185">
        <f t="shared" si="20"/>
        <v>0</v>
      </c>
    </row>
    <row r="94" spans="1:57" s="90" customFormat="1" ht="15" hidden="1" customHeight="1" x14ac:dyDescent="0.25">
      <c r="A94" s="187" t="b">
        <v>1</v>
      </c>
      <c r="B94" s="188" t="b">
        <v>1</v>
      </c>
      <c r="C94" s="179" t="e">
        <f t="shared" si="25"/>
        <v>#N/A</v>
      </c>
      <c r="E94" s="180">
        <v>2065</v>
      </c>
      <c r="F94" s="100">
        <f t="shared" si="23"/>
        <v>82</v>
      </c>
      <c r="G94" s="181">
        <f t="shared" si="26"/>
        <v>-12</v>
      </c>
      <c r="H94" s="181" t="e">
        <f t="shared" si="27"/>
        <v>#N/A</v>
      </c>
      <c r="J94" s="182">
        <v>0</v>
      </c>
      <c r="K94" s="101"/>
      <c r="L94" s="183" t="e">
        <f t="shared" si="22"/>
        <v>#N/A</v>
      </c>
      <c r="M94" s="184"/>
      <c r="N94" s="91"/>
      <c r="O94" s="91"/>
      <c r="P94" s="90">
        <v>0</v>
      </c>
      <c r="Q94" s="87">
        <v>1</v>
      </c>
      <c r="R94" s="185">
        <v>0</v>
      </c>
      <c r="S94" s="185">
        <v>0</v>
      </c>
      <c r="T94" s="185">
        <v>0</v>
      </c>
      <c r="U94" s="185">
        <v>0</v>
      </c>
      <c r="V94" s="182">
        <v>0</v>
      </c>
      <c r="W94" s="182">
        <v>0</v>
      </c>
      <c r="X94" s="182">
        <v>0</v>
      </c>
      <c r="Y94" s="182">
        <v>0</v>
      </c>
      <c r="Z94" s="182">
        <v>0</v>
      </c>
      <c r="AA94" s="182">
        <v>0</v>
      </c>
      <c r="AB94" s="182">
        <v>0</v>
      </c>
      <c r="AC94" s="182">
        <v>0</v>
      </c>
      <c r="AD94" s="182">
        <v>0</v>
      </c>
      <c r="AE94" s="182">
        <v>0</v>
      </c>
      <c r="AF94" s="182">
        <v>0</v>
      </c>
      <c r="AG94" s="182">
        <v>0</v>
      </c>
      <c r="AH94" s="182">
        <v>0</v>
      </c>
      <c r="AI94" s="182">
        <v>0</v>
      </c>
      <c r="AJ94" s="182">
        <v>0</v>
      </c>
      <c r="AL94" s="185">
        <f t="shared" si="24"/>
        <v>1</v>
      </c>
      <c r="AM94" s="185">
        <f t="shared" si="2"/>
        <v>0</v>
      </c>
      <c r="AN94" s="185">
        <f t="shared" si="3"/>
        <v>0</v>
      </c>
      <c r="AO94" s="185">
        <f t="shared" si="4"/>
        <v>0</v>
      </c>
      <c r="AP94" s="185">
        <f t="shared" si="5"/>
        <v>0</v>
      </c>
      <c r="AQ94" s="185">
        <f t="shared" si="6"/>
        <v>0</v>
      </c>
      <c r="AR94" s="185">
        <f t="shared" si="7"/>
        <v>0</v>
      </c>
      <c r="AS94" s="185">
        <f t="shared" si="8"/>
        <v>0</v>
      </c>
      <c r="AT94" s="185">
        <f t="shared" si="9"/>
        <v>0</v>
      </c>
      <c r="AU94" s="185">
        <f t="shared" si="10"/>
        <v>0</v>
      </c>
      <c r="AV94" s="185">
        <f t="shared" si="11"/>
        <v>0</v>
      </c>
      <c r="AW94" s="185">
        <f t="shared" si="12"/>
        <v>0</v>
      </c>
      <c r="AX94" s="185">
        <f t="shared" si="13"/>
        <v>0</v>
      </c>
      <c r="AY94" s="185">
        <f t="shared" si="14"/>
        <v>0</v>
      </c>
      <c r="AZ94" s="185">
        <f t="shared" si="15"/>
        <v>0</v>
      </c>
      <c r="BA94" s="185">
        <f t="shared" si="16"/>
        <v>0</v>
      </c>
      <c r="BB94" s="185">
        <f t="shared" si="17"/>
        <v>0</v>
      </c>
      <c r="BC94" s="185">
        <f t="shared" si="18"/>
        <v>0</v>
      </c>
      <c r="BD94" s="185">
        <f t="shared" si="19"/>
        <v>0</v>
      </c>
      <c r="BE94" s="185">
        <f t="shared" si="20"/>
        <v>0</v>
      </c>
    </row>
    <row r="95" spans="1:57" s="90" customFormat="1" ht="15" hidden="1" customHeight="1" x14ac:dyDescent="0.25">
      <c r="A95" s="187" t="b">
        <v>1</v>
      </c>
      <c r="B95" s="188" t="b">
        <v>1</v>
      </c>
      <c r="C95" s="179" t="e">
        <f t="shared" si="25"/>
        <v>#N/A</v>
      </c>
      <c r="E95" s="180">
        <v>2066</v>
      </c>
      <c r="F95" s="100">
        <f t="shared" si="23"/>
        <v>83</v>
      </c>
      <c r="G95" s="181">
        <f t="shared" si="26"/>
        <v>-13</v>
      </c>
      <c r="H95" s="181" t="e">
        <f t="shared" si="27"/>
        <v>#N/A</v>
      </c>
      <c r="J95" s="182">
        <v>0</v>
      </c>
      <c r="K95" s="101"/>
      <c r="L95" s="183" t="e">
        <f t="shared" si="22"/>
        <v>#N/A</v>
      </c>
      <c r="M95" s="184"/>
      <c r="N95" s="91"/>
      <c r="O95" s="91"/>
      <c r="P95" s="90">
        <v>0</v>
      </c>
      <c r="Q95" s="87">
        <v>1</v>
      </c>
      <c r="R95" s="185">
        <v>0</v>
      </c>
      <c r="S95" s="185">
        <v>0</v>
      </c>
      <c r="T95" s="185">
        <v>0</v>
      </c>
      <c r="U95" s="185">
        <v>0</v>
      </c>
      <c r="V95" s="182">
        <v>0</v>
      </c>
      <c r="W95" s="182">
        <v>0</v>
      </c>
      <c r="X95" s="182">
        <v>0</v>
      </c>
      <c r="Y95" s="182">
        <v>0</v>
      </c>
      <c r="Z95" s="182">
        <v>0</v>
      </c>
      <c r="AA95" s="182">
        <v>0</v>
      </c>
      <c r="AB95" s="182">
        <v>0</v>
      </c>
      <c r="AC95" s="182">
        <v>0</v>
      </c>
      <c r="AD95" s="182">
        <v>0</v>
      </c>
      <c r="AE95" s="182">
        <v>0</v>
      </c>
      <c r="AF95" s="182">
        <v>0</v>
      </c>
      <c r="AG95" s="182">
        <v>0</v>
      </c>
      <c r="AH95" s="182">
        <v>0</v>
      </c>
      <c r="AI95" s="182">
        <v>0</v>
      </c>
      <c r="AJ95" s="182">
        <v>0</v>
      </c>
      <c r="AL95" s="185">
        <f t="shared" si="24"/>
        <v>1</v>
      </c>
      <c r="AM95" s="185">
        <f t="shared" si="2"/>
        <v>0</v>
      </c>
      <c r="AN95" s="185">
        <f t="shared" si="3"/>
        <v>0</v>
      </c>
      <c r="AO95" s="185">
        <f t="shared" si="4"/>
        <v>0</v>
      </c>
      <c r="AP95" s="185">
        <f t="shared" si="5"/>
        <v>0</v>
      </c>
      <c r="AQ95" s="185">
        <f t="shared" si="6"/>
        <v>0</v>
      </c>
      <c r="AR95" s="185">
        <f t="shared" si="7"/>
        <v>0</v>
      </c>
      <c r="AS95" s="185">
        <f t="shared" si="8"/>
        <v>0</v>
      </c>
      <c r="AT95" s="185">
        <f t="shared" si="9"/>
        <v>0</v>
      </c>
      <c r="AU95" s="185">
        <f t="shared" si="10"/>
        <v>0</v>
      </c>
      <c r="AV95" s="185">
        <f t="shared" si="11"/>
        <v>0</v>
      </c>
      <c r="AW95" s="185">
        <f t="shared" si="12"/>
        <v>0</v>
      </c>
      <c r="AX95" s="185">
        <f t="shared" si="13"/>
        <v>0</v>
      </c>
      <c r="AY95" s="185">
        <f t="shared" si="14"/>
        <v>0</v>
      </c>
      <c r="AZ95" s="185">
        <f t="shared" si="15"/>
        <v>0</v>
      </c>
      <c r="BA95" s="185">
        <f t="shared" si="16"/>
        <v>0</v>
      </c>
      <c r="BB95" s="185">
        <f t="shared" si="17"/>
        <v>0</v>
      </c>
      <c r="BC95" s="185">
        <f t="shared" si="18"/>
        <v>0</v>
      </c>
      <c r="BD95" s="185">
        <f t="shared" si="19"/>
        <v>0</v>
      </c>
      <c r="BE95" s="185">
        <f t="shared" si="20"/>
        <v>0</v>
      </c>
    </row>
    <row r="96" spans="1:57" s="90" customFormat="1" ht="15" hidden="1" customHeight="1" x14ac:dyDescent="0.25">
      <c r="A96" s="187" t="b">
        <v>1</v>
      </c>
      <c r="B96" s="188" t="b">
        <v>1</v>
      </c>
      <c r="C96" s="179" t="e">
        <f t="shared" si="25"/>
        <v>#N/A</v>
      </c>
      <c r="E96" s="180">
        <v>2067</v>
      </c>
      <c r="F96" s="100">
        <f t="shared" si="23"/>
        <v>84</v>
      </c>
      <c r="G96" s="181">
        <f t="shared" si="26"/>
        <v>-14</v>
      </c>
      <c r="H96" s="181" t="e">
        <f t="shared" si="27"/>
        <v>#N/A</v>
      </c>
      <c r="J96" s="182">
        <v>0</v>
      </c>
      <c r="K96" s="101"/>
      <c r="L96" s="183" t="e">
        <f t="shared" si="22"/>
        <v>#N/A</v>
      </c>
      <c r="M96" s="184"/>
      <c r="N96" s="91"/>
      <c r="O96" s="91"/>
      <c r="P96" s="90">
        <v>0</v>
      </c>
      <c r="Q96" s="87">
        <v>1</v>
      </c>
      <c r="R96" s="185">
        <v>0</v>
      </c>
      <c r="S96" s="185">
        <v>0</v>
      </c>
      <c r="T96" s="185">
        <v>0</v>
      </c>
      <c r="U96" s="185">
        <v>0</v>
      </c>
      <c r="V96" s="182">
        <v>0</v>
      </c>
      <c r="W96" s="182">
        <v>0</v>
      </c>
      <c r="X96" s="182">
        <v>0</v>
      </c>
      <c r="Y96" s="182">
        <v>0</v>
      </c>
      <c r="Z96" s="182">
        <v>0</v>
      </c>
      <c r="AA96" s="182">
        <v>0</v>
      </c>
      <c r="AB96" s="182">
        <v>0</v>
      </c>
      <c r="AC96" s="182">
        <v>0</v>
      </c>
      <c r="AD96" s="182">
        <v>0</v>
      </c>
      <c r="AE96" s="182">
        <v>0</v>
      </c>
      <c r="AF96" s="182">
        <v>0</v>
      </c>
      <c r="AG96" s="182">
        <v>0</v>
      </c>
      <c r="AH96" s="182">
        <v>0</v>
      </c>
      <c r="AI96" s="182">
        <v>0</v>
      </c>
      <c r="AJ96" s="182">
        <v>0</v>
      </c>
      <c r="AL96" s="185">
        <f t="shared" si="24"/>
        <v>1</v>
      </c>
      <c r="AM96" s="185">
        <f t="shared" si="2"/>
        <v>0</v>
      </c>
      <c r="AN96" s="185">
        <f t="shared" si="3"/>
        <v>0</v>
      </c>
      <c r="AO96" s="185">
        <f t="shared" si="4"/>
        <v>0</v>
      </c>
      <c r="AP96" s="185">
        <f t="shared" si="5"/>
        <v>0</v>
      </c>
      <c r="AQ96" s="185">
        <f t="shared" si="6"/>
        <v>0</v>
      </c>
      <c r="AR96" s="185">
        <f t="shared" si="7"/>
        <v>0</v>
      </c>
      <c r="AS96" s="185">
        <f t="shared" si="8"/>
        <v>0</v>
      </c>
      <c r="AT96" s="185">
        <f t="shared" si="9"/>
        <v>0</v>
      </c>
      <c r="AU96" s="185">
        <f t="shared" si="10"/>
        <v>0</v>
      </c>
      <c r="AV96" s="185">
        <f t="shared" si="11"/>
        <v>0</v>
      </c>
      <c r="AW96" s="185">
        <f t="shared" si="12"/>
        <v>0</v>
      </c>
      <c r="AX96" s="185">
        <f t="shared" si="13"/>
        <v>0</v>
      </c>
      <c r="AY96" s="185">
        <f t="shared" si="14"/>
        <v>0</v>
      </c>
      <c r="AZ96" s="185">
        <f t="shared" si="15"/>
        <v>0</v>
      </c>
      <c r="BA96" s="185">
        <f t="shared" si="16"/>
        <v>0</v>
      </c>
      <c r="BB96" s="185">
        <f t="shared" si="17"/>
        <v>0</v>
      </c>
      <c r="BC96" s="185">
        <f t="shared" si="18"/>
        <v>0</v>
      </c>
      <c r="BD96" s="185">
        <f t="shared" si="19"/>
        <v>0</v>
      </c>
      <c r="BE96" s="185">
        <f t="shared" si="20"/>
        <v>0</v>
      </c>
    </row>
    <row r="97" spans="1:57" s="90" customFormat="1" ht="15" hidden="1" customHeight="1" x14ac:dyDescent="0.25">
      <c r="A97" s="187" t="b">
        <v>1</v>
      </c>
      <c r="B97" s="188" t="b">
        <v>1</v>
      </c>
      <c r="C97" s="179" t="e">
        <f t="shared" si="25"/>
        <v>#N/A</v>
      </c>
      <c r="E97" s="180">
        <v>2068</v>
      </c>
      <c r="F97" s="100">
        <f t="shared" si="23"/>
        <v>85</v>
      </c>
      <c r="G97" s="181">
        <f t="shared" si="26"/>
        <v>-15</v>
      </c>
      <c r="H97" s="181" t="e">
        <f t="shared" si="27"/>
        <v>#N/A</v>
      </c>
      <c r="J97" s="182">
        <v>0</v>
      </c>
      <c r="K97" s="101"/>
      <c r="L97" s="183" t="e">
        <f t="shared" si="22"/>
        <v>#N/A</v>
      </c>
      <c r="M97" s="184"/>
      <c r="N97" s="91"/>
      <c r="O97" s="91"/>
      <c r="P97" s="90">
        <v>0</v>
      </c>
      <c r="Q97" s="87">
        <v>1</v>
      </c>
      <c r="R97" s="185">
        <v>0</v>
      </c>
      <c r="S97" s="185">
        <v>0</v>
      </c>
      <c r="T97" s="185">
        <v>0</v>
      </c>
      <c r="U97" s="185">
        <v>0</v>
      </c>
      <c r="V97" s="182">
        <v>0</v>
      </c>
      <c r="W97" s="182">
        <v>0</v>
      </c>
      <c r="X97" s="182">
        <v>0</v>
      </c>
      <c r="Y97" s="182">
        <v>0</v>
      </c>
      <c r="Z97" s="182">
        <v>0</v>
      </c>
      <c r="AA97" s="182">
        <v>0</v>
      </c>
      <c r="AB97" s="182">
        <v>0</v>
      </c>
      <c r="AC97" s="182">
        <v>0</v>
      </c>
      <c r="AD97" s="182">
        <v>0</v>
      </c>
      <c r="AE97" s="182">
        <v>0</v>
      </c>
      <c r="AF97" s="182">
        <v>0</v>
      </c>
      <c r="AG97" s="182">
        <v>0</v>
      </c>
      <c r="AH97" s="182">
        <v>0</v>
      </c>
      <c r="AI97" s="182">
        <v>0</v>
      </c>
      <c r="AJ97" s="182">
        <v>0</v>
      </c>
      <c r="AL97" s="185">
        <f t="shared" si="24"/>
        <v>1</v>
      </c>
      <c r="AM97" s="185">
        <f t="shared" si="2"/>
        <v>0</v>
      </c>
      <c r="AN97" s="185">
        <f t="shared" si="3"/>
        <v>0</v>
      </c>
      <c r="AO97" s="185">
        <f t="shared" si="4"/>
        <v>0</v>
      </c>
      <c r="AP97" s="185">
        <f t="shared" si="5"/>
        <v>0</v>
      </c>
      <c r="AQ97" s="185">
        <f t="shared" si="6"/>
        <v>0</v>
      </c>
      <c r="AR97" s="185">
        <f t="shared" si="7"/>
        <v>0</v>
      </c>
      <c r="AS97" s="185">
        <f t="shared" si="8"/>
        <v>0</v>
      </c>
      <c r="AT97" s="185">
        <f t="shared" si="9"/>
        <v>0</v>
      </c>
      <c r="AU97" s="185">
        <f t="shared" si="10"/>
        <v>0</v>
      </c>
      <c r="AV97" s="185">
        <f t="shared" si="11"/>
        <v>0</v>
      </c>
      <c r="AW97" s="185">
        <f t="shared" si="12"/>
        <v>0</v>
      </c>
      <c r="AX97" s="185">
        <f t="shared" si="13"/>
        <v>0</v>
      </c>
      <c r="AY97" s="185">
        <f t="shared" si="14"/>
        <v>0</v>
      </c>
      <c r="AZ97" s="185">
        <f t="shared" si="15"/>
        <v>0</v>
      </c>
      <c r="BA97" s="185">
        <f t="shared" si="16"/>
        <v>0</v>
      </c>
      <c r="BB97" s="185">
        <f t="shared" si="17"/>
        <v>0</v>
      </c>
      <c r="BC97" s="185">
        <f t="shared" si="18"/>
        <v>0</v>
      </c>
      <c r="BD97" s="185">
        <f t="shared" si="19"/>
        <v>0</v>
      </c>
      <c r="BE97" s="185">
        <f t="shared" si="20"/>
        <v>0</v>
      </c>
    </row>
    <row r="98" spans="1:57" s="90" customFormat="1" ht="15" hidden="1" customHeight="1" x14ac:dyDescent="0.25">
      <c r="A98" s="187" t="b">
        <v>1</v>
      </c>
      <c r="B98" s="188" t="b">
        <v>1</v>
      </c>
      <c r="C98" s="179" t="e">
        <f t="shared" si="25"/>
        <v>#N/A</v>
      </c>
      <c r="E98" s="180">
        <v>2069</v>
      </c>
      <c r="F98" s="100">
        <f t="shared" si="23"/>
        <v>86</v>
      </c>
      <c r="G98" s="181">
        <f t="shared" si="26"/>
        <v>-16</v>
      </c>
      <c r="H98" s="181" t="e">
        <f t="shared" si="27"/>
        <v>#N/A</v>
      </c>
      <c r="J98" s="182">
        <v>0</v>
      </c>
      <c r="K98" s="101"/>
      <c r="L98" s="183" t="e">
        <f t="shared" si="22"/>
        <v>#N/A</v>
      </c>
      <c r="M98" s="184"/>
      <c r="N98" s="91"/>
      <c r="O98" s="91"/>
      <c r="P98" s="90">
        <v>0</v>
      </c>
      <c r="Q98" s="87">
        <v>1</v>
      </c>
      <c r="R98" s="185">
        <v>0</v>
      </c>
      <c r="S98" s="185">
        <v>0</v>
      </c>
      <c r="T98" s="185">
        <v>0</v>
      </c>
      <c r="U98" s="185">
        <v>0</v>
      </c>
      <c r="V98" s="182">
        <v>0</v>
      </c>
      <c r="W98" s="182">
        <v>0</v>
      </c>
      <c r="X98" s="182">
        <v>0</v>
      </c>
      <c r="Y98" s="182">
        <v>0</v>
      </c>
      <c r="Z98" s="182">
        <v>0</v>
      </c>
      <c r="AA98" s="182">
        <v>0</v>
      </c>
      <c r="AB98" s="182">
        <v>0</v>
      </c>
      <c r="AC98" s="182">
        <v>0</v>
      </c>
      <c r="AD98" s="182">
        <v>0</v>
      </c>
      <c r="AE98" s="182">
        <v>0</v>
      </c>
      <c r="AF98" s="182">
        <v>0</v>
      </c>
      <c r="AG98" s="182">
        <v>0</v>
      </c>
      <c r="AH98" s="182">
        <v>0</v>
      </c>
      <c r="AI98" s="182">
        <v>0</v>
      </c>
      <c r="AJ98" s="182">
        <v>0</v>
      </c>
      <c r="AL98" s="185">
        <f t="shared" si="24"/>
        <v>1</v>
      </c>
      <c r="AM98" s="185">
        <f t="shared" si="2"/>
        <v>0</v>
      </c>
      <c r="AN98" s="185">
        <f t="shared" si="3"/>
        <v>0</v>
      </c>
      <c r="AO98" s="185">
        <f t="shared" si="4"/>
        <v>0</v>
      </c>
      <c r="AP98" s="185">
        <f t="shared" si="5"/>
        <v>0</v>
      </c>
      <c r="AQ98" s="185">
        <f t="shared" si="6"/>
        <v>0</v>
      </c>
      <c r="AR98" s="185">
        <f t="shared" si="7"/>
        <v>0</v>
      </c>
      <c r="AS98" s="185">
        <f t="shared" si="8"/>
        <v>0</v>
      </c>
      <c r="AT98" s="185">
        <f t="shared" si="9"/>
        <v>0</v>
      </c>
      <c r="AU98" s="185">
        <f t="shared" si="10"/>
        <v>0</v>
      </c>
      <c r="AV98" s="185">
        <f t="shared" si="11"/>
        <v>0</v>
      </c>
      <c r="AW98" s="185">
        <f t="shared" si="12"/>
        <v>0</v>
      </c>
      <c r="AX98" s="185">
        <f t="shared" si="13"/>
        <v>0</v>
      </c>
      <c r="AY98" s="185">
        <f t="shared" si="14"/>
        <v>0</v>
      </c>
      <c r="AZ98" s="185">
        <f t="shared" si="15"/>
        <v>0</v>
      </c>
      <c r="BA98" s="185">
        <f t="shared" si="16"/>
        <v>0</v>
      </c>
      <c r="BB98" s="185">
        <f t="shared" si="17"/>
        <v>0</v>
      </c>
      <c r="BC98" s="185">
        <f t="shared" si="18"/>
        <v>0</v>
      </c>
      <c r="BD98" s="185">
        <f t="shared" si="19"/>
        <v>0</v>
      </c>
      <c r="BE98" s="185">
        <f t="shared" si="20"/>
        <v>0</v>
      </c>
    </row>
    <row r="99" spans="1:57" s="90" customFormat="1" ht="15" hidden="1" customHeight="1" x14ac:dyDescent="0.25">
      <c r="A99" s="187" t="b">
        <v>1</v>
      </c>
      <c r="B99" s="188" t="b">
        <v>1</v>
      </c>
      <c r="C99" s="179" t="e">
        <f t="shared" si="25"/>
        <v>#N/A</v>
      </c>
      <c r="E99" s="180">
        <v>2070</v>
      </c>
      <c r="F99" s="100">
        <f t="shared" si="23"/>
        <v>87</v>
      </c>
      <c r="G99" s="181">
        <f t="shared" si="26"/>
        <v>-17</v>
      </c>
      <c r="H99" s="181" t="e">
        <f t="shared" si="27"/>
        <v>#N/A</v>
      </c>
      <c r="J99" s="182">
        <v>0</v>
      </c>
      <c r="K99" s="101"/>
      <c r="L99" s="183" t="e">
        <f t="shared" si="22"/>
        <v>#N/A</v>
      </c>
      <c r="M99" s="184"/>
      <c r="N99" s="91"/>
      <c r="O99" s="91"/>
      <c r="P99" s="90">
        <v>0</v>
      </c>
      <c r="Q99" s="87">
        <v>1</v>
      </c>
      <c r="R99" s="185">
        <v>0</v>
      </c>
      <c r="S99" s="185">
        <v>0</v>
      </c>
      <c r="T99" s="185">
        <v>0</v>
      </c>
      <c r="U99" s="185">
        <v>0</v>
      </c>
      <c r="V99" s="182">
        <v>0</v>
      </c>
      <c r="W99" s="182">
        <v>0</v>
      </c>
      <c r="X99" s="182">
        <v>0</v>
      </c>
      <c r="Y99" s="182">
        <v>0</v>
      </c>
      <c r="Z99" s="182">
        <v>0</v>
      </c>
      <c r="AA99" s="182">
        <v>0</v>
      </c>
      <c r="AB99" s="182">
        <v>0</v>
      </c>
      <c r="AC99" s="182">
        <v>0</v>
      </c>
      <c r="AD99" s="182">
        <v>0</v>
      </c>
      <c r="AE99" s="182">
        <v>0</v>
      </c>
      <c r="AF99" s="182">
        <v>0</v>
      </c>
      <c r="AG99" s="182">
        <v>0</v>
      </c>
      <c r="AH99" s="182">
        <v>0</v>
      </c>
      <c r="AI99" s="182">
        <v>0</v>
      </c>
      <c r="AJ99" s="182">
        <v>0</v>
      </c>
      <c r="AL99" s="185">
        <f t="shared" si="24"/>
        <v>1</v>
      </c>
      <c r="AM99" s="185">
        <f t="shared" si="2"/>
        <v>0</v>
      </c>
      <c r="AN99" s="185">
        <f t="shared" si="3"/>
        <v>0</v>
      </c>
      <c r="AO99" s="185">
        <f t="shared" si="4"/>
        <v>0</v>
      </c>
      <c r="AP99" s="185">
        <f t="shared" si="5"/>
        <v>0</v>
      </c>
      <c r="AQ99" s="185">
        <f t="shared" si="6"/>
        <v>0</v>
      </c>
      <c r="AR99" s="185">
        <f t="shared" si="7"/>
        <v>0</v>
      </c>
      <c r="AS99" s="185">
        <f t="shared" si="8"/>
        <v>0</v>
      </c>
      <c r="AT99" s="185">
        <f t="shared" si="9"/>
        <v>0</v>
      </c>
      <c r="AU99" s="185">
        <f t="shared" si="10"/>
        <v>0</v>
      </c>
      <c r="AV99" s="185">
        <f t="shared" si="11"/>
        <v>0</v>
      </c>
      <c r="AW99" s="185">
        <f t="shared" si="12"/>
        <v>0</v>
      </c>
      <c r="AX99" s="185">
        <f t="shared" si="13"/>
        <v>0</v>
      </c>
      <c r="AY99" s="185">
        <f t="shared" si="14"/>
        <v>0</v>
      </c>
      <c r="AZ99" s="185">
        <f t="shared" si="15"/>
        <v>0</v>
      </c>
      <c r="BA99" s="185">
        <f t="shared" si="16"/>
        <v>0</v>
      </c>
      <c r="BB99" s="185">
        <f t="shared" si="17"/>
        <v>0</v>
      </c>
      <c r="BC99" s="185">
        <f t="shared" si="18"/>
        <v>0</v>
      </c>
      <c r="BD99" s="185">
        <f t="shared" si="19"/>
        <v>0</v>
      </c>
      <c r="BE99" s="185">
        <f t="shared" si="20"/>
        <v>0</v>
      </c>
    </row>
    <row r="100" spans="1:57" s="90" customFormat="1" ht="15" hidden="1" customHeight="1" x14ac:dyDescent="0.25">
      <c r="A100" s="187" t="b">
        <v>1</v>
      </c>
      <c r="B100" s="188" t="b">
        <v>1</v>
      </c>
      <c r="C100" s="179" t="e">
        <f t="shared" si="25"/>
        <v>#N/A</v>
      </c>
      <c r="E100" s="180">
        <v>2071</v>
      </c>
      <c r="F100" s="100">
        <f t="shared" si="23"/>
        <v>88</v>
      </c>
      <c r="G100" s="181">
        <f t="shared" si="26"/>
        <v>-18</v>
      </c>
      <c r="H100" s="181" t="e">
        <f t="shared" si="27"/>
        <v>#N/A</v>
      </c>
      <c r="J100" s="182">
        <v>0</v>
      </c>
      <c r="K100" s="101"/>
      <c r="L100" s="183" t="e">
        <f t="shared" si="22"/>
        <v>#N/A</v>
      </c>
      <c r="M100" s="184"/>
      <c r="N100" s="91"/>
      <c r="O100" s="91"/>
      <c r="P100" s="90">
        <v>0</v>
      </c>
      <c r="Q100" s="87">
        <v>1</v>
      </c>
      <c r="R100" s="185">
        <v>0</v>
      </c>
      <c r="S100" s="185">
        <v>0</v>
      </c>
      <c r="T100" s="185">
        <v>0</v>
      </c>
      <c r="U100" s="185">
        <v>0</v>
      </c>
      <c r="V100" s="182">
        <v>0</v>
      </c>
      <c r="W100" s="182">
        <v>0</v>
      </c>
      <c r="X100" s="182">
        <v>0</v>
      </c>
      <c r="Y100" s="182">
        <v>0</v>
      </c>
      <c r="Z100" s="182">
        <v>0</v>
      </c>
      <c r="AA100" s="182">
        <v>0</v>
      </c>
      <c r="AB100" s="182">
        <v>0</v>
      </c>
      <c r="AC100" s="182">
        <v>0</v>
      </c>
      <c r="AD100" s="182">
        <v>0</v>
      </c>
      <c r="AE100" s="182">
        <v>0</v>
      </c>
      <c r="AF100" s="182">
        <v>0</v>
      </c>
      <c r="AG100" s="182">
        <v>0</v>
      </c>
      <c r="AH100" s="182">
        <v>0</v>
      </c>
      <c r="AI100" s="182">
        <v>0</v>
      </c>
      <c r="AJ100" s="182">
        <v>0</v>
      </c>
      <c r="AL100" s="185">
        <f t="shared" si="24"/>
        <v>1</v>
      </c>
      <c r="AM100" s="185">
        <f t="shared" si="2"/>
        <v>0</v>
      </c>
      <c r="AN100" s="185">
        <f t="shared" si="3"/>
        <v>0</v>
      </c>
      <c r="AO100" s="185">
        <f t="shared" si="4"/>
        <v>0</v>
      </c>
      <c r="AP100" s="185">
        <f t="shared" si="5"/>
        <v>0</v>
      </c>
      <c r="AQ100" s="185">
        <f t="shared" si="6"/>
        <v>0</v>
      </c>
      <c r="AR100" s="185">
        <f t="shared" si="7"/>
        <v>0</v>
      </c>
      <c r="AS100" s="185">
        <f t="shared" si="8"/>
        <v>0</v>
      </c>
      <c r="AT100" s="185">
        <f t="shared" si="9"/>
        <v>0</v>
      </c>
      <c r="AU100" s="185">
        <f t="shared" si="10"/>
        <v>0</v>
      </c>
      <c r="AV100" s="185">
        <f t="shared" si="11"/>
        <v>0</v>
      </c>
      <c r="AW100" s="185">
        <f t="shared" si="12"/>
        <v>0</v>
      </c>
      <c r="AX100" s="185">
        <f t="shared" si="13"/>
        <v>0</v>
      </c>
      <c r="AY100" s="185">
        <f t="shared" si="14"/>
        <v>0</v>
      </c>
      <c r="AZ100" s="185">
        <f t="shared" si="15"/>
        <v>0</v>
      </c>
      <c r="BA100" s="185">
        <f t="shared" si="16"/>
        <v>0</v>
      </c>
      <c r="BB100" s="185">
        <f t="shared" si="17"/>
        <v>0</v>
      </c>
      <c r="BC100" s="185">
        <f t="shared" si="18"/>
        <v>0</v>
      </c>
      <c r="BD100" s="185">
        <f t="shared" si="19"/>
        <v>0</v>
      </c>
      <c r="BE100" s="185">
        <f t="shared" si="20"/>
        <v>0</v>
      </c>
    </row>
    <row r="101" spans="1:57" s="90" customFormat="1" ht="15" hidden="1" customHeight="1" x14ac:dyDescent="0.25">
      <c r="A101" s="187" t="b">
        <v>1</v>
      </c>
      <c r="B101" s="188" t="b">
        <v>1</v>
      </c>
      <c r="C101" s="179" t="e">
        <f t="shared" si="25"/>
        <v>#N/A</v>
      </c>
      <c r="E101" s="180">
        <v>2072</v>
      </c>
      <c r="F101" s="100">
        <f t="shared" si="23"/>
        <v>89</v>
      </c>
      <c r="G101" s="181">
        <f t="shared" si="26"/>
        <v>-19</v>
      </c>
      <c r="H101" s="181" t="e">
        <f t="shared" si="27"/>
        <v>#N/A</v>
      </c>
      <c r="J101" s="182">
        <v>0</v>
      </c>
      <c r="K101" s="101"/>
      <c r="L101" s="183" t="e">
        <f t="shared" si="22"/>
        <v>#N/A</v>
      </c>
      <c r="M101" s="184"/>
      <c r="N101" s="91"/>
      <c r="O101" s="91"/>
      <c r="P101" s="90">
        <v>0</v>
      </c>
      <c r="Q101" s="87">
        <v>1</v>
      </c>
      <c r="R101" s="185">
        <v>0</v>
      </c>
      <c r="S101" s="185">
        <v>0</v>
      </c>
      <c r="T101" s="185">
        <v>0</v>
      </c>
      <c r="U101" s="185">
        <v>0</v>
      </c>
      <c r="V101" s="182">
        <v>0</v>
      </c>
      <c r="W101" s="182">
        <v>0</v>
      </c>
      <c r="X101" s="182">
        <v>0</v>
      </c>
      <c r="Y101" s="182">
        <v>0</v>
      </c>
      <c r="Z101" s="182">
        <v>0</v>
      </c>
      <c r="AA101" s="182">
        <v>0</v>
      </c>
      <c r="AB101" s="182">
        <v>0</v>
      </c>
      <c r="AC101" s="182">
        <v>0</v>
      </c>
      <c r="AD101" s="182">
        <v>0</v>
      </c>
      <c r="AE101" s="182">
        <v>0</v>
      </c>
      <c r="AF101" s="182">
        <v>0</v>
      </c>
      <c r="AG101" s="182">
        <v>0</v>
      </c>
      <c r="AH101" s="182">
        <v>0</v>
      </c>
      <c r="AI101" s="182">
        <v>0</v>
      </c>
      <c r="AJ101" s="182">
        <v>0</v>
      </c>
      <c r="AL101" s="185">
        <f t="shared" si="24"/>
        <v>1</v>
      </c>
      <c r="AM101" s="185">
        <f t="shared" si="2"/>
        <v>0</v>
      </c>
      <c r="AN101" s="185">
        <f t="shared" si="3"/>
        <v>0</v>
      </c>
      <c r="AO101" s="185">
        <f t="shared" si="4"/>
        <v>0</v>
      </c>
      <c r="AP101" s="185">
        <f t="shared" si="5"/>
        <v>0</v>
      </c>
      <c r="AQ101" s="185">
        <f t="shared" si="6"/>
        <v>0</v>
      </c>
      <c r="AR101" s="185">
        <f t="shared" si="7"/>
        <v>0</v>
      </c>
      <c r="AS101" s="185">
        <f t="shared" si="8"/>
        <v>0</v>
      </c>
      <c r="AT101" s="185">
        <f t="shared" si="9"/>
        <v>0</v>
      </c>
      <c r="AU101" s="185">
        <f t="shared" si="10"/>
        <v>0</v>
      </c>
      <c r="AV101" s="185">
        <f t="shared" si="11"/>
        <v>0</v>
      </c>
      <c r="AW101" s="185">
        <f t="shared" si="12"/>
        <v>0</v>
      </c>
      <c r="AX101" s="185">
        <f t="shared" si="13"/>
        <v>0</v>
      </c>
      <c r="AY101" s="185">
        <f t="shared" si="14"/>
        <v>0</v>
      </c>
      <c r="AZ101" s="185">
        <f t="shared" si="15"/>
        <v>0</v>
      </c>
      <c r="BA101" s="185">
        <f t="shared" si="16"/>
        <v>0</v>
      </c>
      <c r="BB101" s="185">
        <f t="shared" si="17"/>
        <v>0</v>
      </c>
      <c r="BC101" s="185">
        <f t="shared" si="18"/>
        <v>0</v>
      </c>
      <c r="BD101" s="185">
        <f t="shared" si="19"/>
        <v>0</v>
      </c>
      <c r="BE101" s="185">
        <f t="shared" si="20"/>
        <v>0</v>
      </c>
    </row>
    <row r="102" spans="1:57" s="90" customFormat="1" ht="15" hidden="1" customHeight="1" x14ac:dyDescent="0.25">
      <c r="A102" s="187" t="b">
        <v>1</v>
      </c>
      <c r="B102" s="188" t="b">
        <v>1</v>
      </c>
      <c r="C102" s="179" t="e">
        <f t="shared" si="25"/>
        <v>#N/A</v>
      </c>
      <c r="E102" s="180">
        <v>2073</v>
      </c>
      <c r="F102" s="100">
        <f t="shared" si="23"/>
        <v>90</v>
      </c>
      <c r="G102" s="181">
        <f t="shared" si="26"/>
        <v>-20</v>
      </c>
      <c r="H102" s="181" t="e">
        <f t="shared" si="27"/>
        <v>#N/A</v>
      </c>
      <c r="J102" s="182">
        <v>0</v>
      </c>
      <c r="K102" s="101"/>
      <c r="L102" s="183" t="e">
        <f t="shared" si="22"/>
        <v>#N/A</v>
      </c>
      <c r="M102" s="184"/>
      <c r="N102" s="91"/>
      <c r="O102" s="91"/>
      <c r="P102" s="90">
        <v>0</v>
      </c>
      <c r="Q102" s="87">
        <v>1</v>
      </c>
      <c r="R102" s="185">
        <v>0</v>
      </c>
      <c r="S102" s="185">
        <v>0</v>
      </c>
      <c r="T102" s="185">
        <v>0</v>
      </c>
      <c r="U102" s="185">
        <v>0</v>
      </c>
      <c r="V102" s="182">
        <v>0</v>
      </c>
      <c r="W102" s="182">
        <v>0</v>
      </c>
      <c r="X102" s="182">
        <v>0</v>
      </c>
      <c r="Y102" s="182">
        <v>0</v>
      </c>
      <c r="Z102" s="182">
        <v>0</v>
      </c>
      <c r="AA102" s="182">
        <v>0</v>
      </c>
      <c r="AB102" s="182">
        <v>0</v>
      </c>
      <c r="AC102" s="182">
        <v>0</v>
      </c>
      <c r="AD102" s="182">
        <v>0</v>
      </c>
      <c r="AE102" s="182">
        <v>0</v>
      </c>
      <c r="AF102" s="182">
        <v>0</v>
      </c>
      <c r="AG102" s="182">
        <v>0</v>
      </c>
      <c r="AH102" s="182">
        <v>0</v>
      </c>
      <c r="AI102" s="182">
        <v>0</v>
      </c>
      <c r="AJ102" s="182">
        <v>0</v>
      </c>
      <c r="AL102" s="185">
        <f t="shared" si="24"/>
        <v>1</v>
      </c>
      <c r="AM102" s="185">
        <f t="shared" si="2"/>
        <v>0</v>
      </c>
      <c r="AN102" s="185">
        <f t="shared" si="3"/>
        <v>0</v>
      </c>
      <c r="AO102" s="185">
        <f t="shared" si="4"/>
        <v>0</v>
      </c>
      <c r="AP102" s="185">
        <f t="shared" si="5"/>
        <v>0</v>
      </c>
      <c r="AQ102" s="185">
        <f t="shared" si="6"/>
        <v>0</v>
      </c>
      <c r="AR102" s="185">
        <f t="shared" si="7"/>
        <v>0</v>
      </c>
      <c r="AS102" s="185">
        <f t="shared" si="8"/>
        <v>0</v>
      </c>
      <c r="AT102" s="185">
        <f t="shared" si="9"/>
        <v>0</v>
      </c>
      <c r="AU102" s="185">
        <f t="shared" si="10"/>
        <v>0</v>
      </c>
      <c r="AV102" s="185">
        <f t="shared" si="11"/>
        <v>0</v>
      </c>
      <c r="AW102" s="185">
        <f t="shared" si="12"/>
        <v>0</v>
      </c>
      <c r="AX102" s="185">
        <f t="shared" si="13"/>
        <v>0</v>
      </c>
      <c r="AY102" s="185">
        <f t="shared" si="14"/>
        <v>0</v>
      </c>
      <c r="AZ102" s="185">
        <f t="shared" si="15"/>
        <v>0</v>
      </c>
      <c r="BA102" s="185">
        <f t="shared" si="16"/>
        <v>0</v>
      </c>
      <c r="BB102" s="185">
        <f t="shared" si="17"/>
        <v>0</v>
      </c>
      <c r="BC102" s="185">
        <f t="shared" si="18"/>
        <v>0</v>
      </c>
      <c r="BD102" s="185">
        <f t="shared" si="19"/>
        <v>0</v>
      </c>
      <c r="BE102" s="185">
        <f t="shared" si="20"/>
        <v>0</v>
      </c>
    </row>
    <row r="103" spans="1:57" s="90" customFormat="1" ht="15" hidden="1" customHeight="1" x14ac:dyDescent="0.25">
      <c r="A103" s="187" t="b">
        <v>1</v>
      </c>
      <c r="B103" s="188" t="b">
        <v>1</v>
      </c>
      <c r="C103" s="179" t="e">
        <f t="shared" si="25"/>
        <v>#N/A</v>
      </c>
      <c r="E103" s="180">
        <v>2074</v>
      </c>
      <c r="F103" s="100">
        <f t="shared" si="23"/>
        <v>91</v>
      </c>
      <c r="G103" s="181">
        <f t="shared" si="26"/>
        <v>-21</v>
      </c>
      <c r="H103" s="181" t="e">
        <f t="shared" si="27"/>
        <v>#N/A</v>
      </c>
      <c r="J103" s="182">
        <v>0</v>
      </c>
      <c r="K103" s="101"/>
      <c r="L103" s="183" t="e">
        <f t="shared" si="22"/>
        <v>#N/A</v>
      </c>
      <c r="M103" s="184"/>
      <c r="N103" s="91"/>
      <c r="O103" s="91"/>
      <c r="P103" s="90">
        <v>0</v>
      </c>
      <c r="Q103" s="87">
        <v>1</v>
      </c>
      <c r="R103" s="185">
        <v>0</v>
      </c>
      <c r="S103" s="185">
        <v>0</v>
      </c>
      <c r="T103" s="185">
        <v>0</v>
      </c>
      <c r="U103" s="185">
        <v>0</v>
      </c>
      <c r="V103" s="182">
        <v>0</v>
      </c>
      <c r="W103" s="182">
        <v>0</v>
      </c>
      <c r="X103" s="182">
        <v>0</v>
      </c>
      <c r="Y103" s="182">
        <v>0</v>
      </c>
      <c r="Z103" s="182">
        <v>0</v>
      </c>
      <c r="AA103" s="182">
        <v>0</v>
      </c>
      <c r="AB103" s="182">
        <v>0</v>
      </c>
      <c r="AC103" s="182">
        <v>0</v>
      </c>
      <c r="AD103" s="182">
        <v>0</v>
      </c>
      <c r="AE103" s="182">
        <v>0</v>
      </c>
      <c r="AF103" s="182">
        <v>0</v>
      </c>
      <c r="AG103" s="182">
        <v>0</v>
      </c>
      <c r="AH103" s="182">
        <v>0</v>
      </c>
      <c r="AI103" s="182">
        <v>0</v>
      </c>
      <c r="AJ103" s="182">
        <v>0</v>
      </c>
      <c r="AL103" s="185">
        <f t="shared" si="24"/>
        <v>1</v>
      </c>
      <c r="AM103" s="185">
        <f t="shared" si="2"/>
        <v>0</v>
      </c>
      <c r="AN103" s="185">
        <f t="shared" si="3"/>
        <v>0</v>
      </c>
      <c r="AO103" s="185">
        <f t="shared" si="4"/>
        <v>0</v>
      </c>
      <c r="AP103" s="185">
        <f t="shared" si="5"/>
        <v>0</v>
      </c>
      <c r="AQ103" s="185">
        <f t="shared" si="6"/>
        <v>0</v>
      </c>
      <c r="AR103" s="185">
        <f t="shared" si="7"/>
        <v>0</v>
      </c>
      <c r="AS103" s="185">
        <f t="shared" si="8"/>
        <v>0</v>
      </c>
      <c r="AT103" s="185">
        <f t="shared" si="9"/>
        <v>0</v>
      </c>
      <c r="AU103" s="185">
        <f t="shared" si="10"/>
        <v>0</v>
      </c>
      <c r="AV103" s="185">
        <f t="shared" si="11"/>
        <v>0</v>
      </c>
      <c r="AW103" s="185">
        <f t="shared" si="12"/>
        <v>0</v>
      </c>
      <c r="AX103" s="185">
        <f t="shared" si="13"/>
        <v>0</v>
      </c>
      <c r="AY103" s="185">
        <f t="shared" si="14"/>
        <v>0</v>
      </c>
      <c r="AZ103" s="185">
        <f t="shared" si="15"/>
        <v>0</v>
      </c>
      <c r="BA103" s="185">
        <f t="shared" si="16"/>
        <v>0</v>
      </c>
      <c r="BB103" s="185">
        <f t="shared" si="17"/>
        <v>0</v>
      </c>
      <c r="BC103" s="185">
        <f t="shared" si="18"/>
        <v>0</v>
      </c>
      <c r="BD103" s="185">
        <f t="shared" si="19"/>
        <v>0</v>
      </c>
      <c r="BE103" s="185">
        <f t="shared" si="20"/>
        <v>0</v>
      </c>
    </row>
    <row r="104" spans="1:57" s="90" customFormat="1" ht="15" hidden="1" customHeight="1" x14ac:dyDescent="0.25">
      <c r="A104" s="187" t="b">
        <v>1</v>
      </c>
      <c r="B104" s="188" t="b">
        <v>1</v>
      </c>
      <c r="C104" s="179" t="e">
        <f t="shared" si="25"/>
        <v>#N/A</v>
      </c>
      <c r="E104" s="180">
        <v>2075</v>
      </c>
      <c r="F104" s="100">
        <f t="shared" si="23"/>
        <v>92</v>
      </c>
      <c r="G104" s="181">
        <f t="shared" si="26"/>
        <v>-22</v>
      </c>
      <c r="H104" s="181" t="e">
        <f t="shared" si="27"/>
        <v>#N/A</v>
      </c>
      <c r="J104" s="182">
        <v>0</v>
      </c>
      <c r="K104" s="101"/>
      <c r="L104" s="183" t="e">
        <f t="shared" si="22"/>
        <v>#N/A</v>
      </c>
      <c r="M104" s="184"/>
      <c r="N104" s="91"/>
      <c r="O104" s="91"/>
      <c r="P104" s="90">
        <v>0</v>
      </c>
      <c r="Q104" s="87">
        <v>1</v>
      </c>
      <c r="R104" s="185">
        <v>0</v>
      </c>
      <c r="S104" s="185">
        <v>0</v>
      </c>
      <c r="T104" s="185">
        <v>0</v>
      </c>
      <c r="U104" s="185">
        <v>0</v>
      </c>
      <c r="V104" s="182">
        <v>0</v>
      </c>
      <c r="W104" s="182">
        <v>0</v>
      </c>
      <c r="X104" s="182">
        <v>0</v>
      </c>
      <c r="Y104" s="182">
        <v>0</v>
      </c>
      <c r="Z104" s="182">
        <v>0</v>
      </c>
      <c r="AA104" s="182">
        <v>0</v>
      </c>
      <c r="AB104" s="182">
        <v>0</v>
      </c>
      <c r="AC104" s="182">
        <v>0</v>
      </c>
      <c r="AD104" s="182">
        <v>0</v>
      </c>
      <c r="AE104" s="182">
        <v>0</v>
      </c>
      <c r="AF104" s="182">
        <v>0</v>
      </c>
      <c r="AG104" s="182">
        <v>0</v>
      </c>
      <c r="AH104" s="182">
        <v>0</v>
      </c>
      <c r="AI104" s="182">
        <v>0</v>
      </c>
      <c r="AJ104" s="182">
        <v>0</v>
      </c>
      <c r="AL104" s="185">
        <f t="shared" si="24"/>
        <v>1</v>
      </c>
      <c r="AM104" s="185">
        <f t="shared" si="2"/>
        <v>0</v>
      </c>
      <c r="AN104" s="185">
        <f t="shared" si="3"/>
        <v>0</v>
      </c>
      <c r="AO104" s="185">
        <f t="shared" si="4"/>
        <v>0</v>
      </c>
      <c r="AP104" s="185">
        <f t="shared" si="5"/>
        <v>0</v>
      </c>
      <c r="AQ104" s="185">
        <f t="shared" si="6"/>
        <v>0</v>
      </c>
      <c r="AR104" s="185">
        <f t="shared" si="7"/>
        <v>0</v>
      </c>
      <c r="AS104" s="185">
        <f t="shared" si="8"/>
        <v>0</v>
      </c>
      <c r="AT104" s="185">
        <f t="shared" si="9"/>
        <v>0</v>
      </c>
      <c r="AU104" s="185">
        <f t="shared" si="10"/>
        <v>0</v>
      </c>
      <c r="AV104" s="185">
        <f t="shared" si="11"/>
        <v>0</v>
      </c>
      <c r="AW104" s="185">
        <f t="shared" si="12"/>
        <v>0</v>
      </c>
      <c r="AX104" s="185">
        <f t="shared" si="13"/>
        <v>0</v>
      </c>
      <c r="AY104" s="185">
        <f t="shared" si="14"/>
        <v>0</v>
      </c>
      <c r="AZ104" s="185">
        <f t="shared" si="15"/>
        <v>0</v>
      </c>
      <c r="BA104" s="185">
        <f t="shared" si="16"/>
        <v>0</v>
      </c>
      <c r="BB104" s="185">
        <f t="shared" si="17"/>
        <v>0</v>
      </c>
      <c r="BC104" s="185">
        <f t="shared" si="18"/>
        <v>0</v>
      </c>
      <c r="BD104" s="185">
        <f t="shared" si="19"/>
        <v>0</v>
      </c>
      <c r="BE104" s="185">
        <f t="shared" si="20"/>
        <v>0</v>
      </c>
    </row>
    <row r="105" spans="1:57" s="90" customFormat="1" ht="15" hidden="1" customHeight="1" x14ac:dyDescent="0.25">
      <c r="A105" s="187" t="b">
        <v>1</v>
      </c>
      <c r="B105" s="188" t="b">
        <v>1</v>
      </c>
      <c r="C105" s="179" t="e">
        <f t="shared" si="25"/>
        <v>#N/A</v>
      </c>
      <c r="E105" s="180">
        <v>2076</v>
      </c>
      <c r="F105" s="100">
        <f t="shared" si="23"/>
        <v>93</v>
      </c>
      <c r="G105" s="181">
        <f t="shared" si="26"/>
        <v>-23</v>
      </c>
      <c r="H105" s="181" t="e">
        <f t="shared" si="27"/>
        <v>#N/A</v>
      </c>
      <c r="J105" s="182">
        <v>0</v>
      </c>
      <c r="K105" s="101"/>
      <c r="L105" s="183" t="e">
        <f t="shared" si="22"/>
        <v>#N/A</v>
      </c>
      <c r="M105" s="184"/>
      <c r="N105" s="91"/>
      <c r="O105" s="91"/>
      <c r="P105" s="90">
        <v>0</v>
      </c>
      <c r="Q105" s="87">
        <v>1</v>
      </c>
      <c r="R105" s="185">
        <v>0</v>
      </c>
      <c r="S105" s="185">
        <v>0</v>
      </c>
      <c r="T105" s="185">
        <v>0</v>
      </c>
      <c r="U105" s="185">
        <v>0</v>
      </c>
      <c r="V105" s="182">
        <v>0</v>
      </c>
      <c r="W105" s="182">
        <v>0</v>
      </c>
      <c r="X105" s="182">
        <v>0</v>
      </c>
      <c r="Y105" s="182">
        <v>0</v>
      </c>
      <c r="Z105" s="182">
        <v>0</v>
      </c>
      <c r="AA105" s="182">
        <v>0</v>
      </c>
      <c r="AB105" s="182">
        <v>0</v>
      </c>
      <c r="AC105" s="182">
        <v>0</v>
      </c>
      <c r="AD105" s="182">
        <v>0</v>
      </c>
      <c r="AE105" s="182">
        <v>0</v>
      </c>
      <c r="AF105" s="182">
        <v>0</v>
      </c>
      <c r="AG105" s="182">
        <v>0</v>
      </c>
      <c r="AH105" s="182">
        <v>0</v>
      </c>
      <c r="AI105" s="182">
        <v>0</v>
      </c>
      <c r="AJ105" s="182">
        <v>0</v>
      </c>
      <c r="AL105" s="185">
        <f t="shared" si="24"/>
        <v>1</v>
      </c>
      <c r="AM105" s="185">
        <f t="shared" si="2"/>
        <v>0</v>
      </c>
      <c r="AN105" s="185">
        <f t="shared" si="3"/>
        <v>0</v>
      </c>
      <c r="AO105" s="185">
        <f t="shared" si="4"/>
        <v>0</v>
      </c>
      <c r="AP105" s="185">
        <f t="shared" si="5"/>
        <v>0</v>
      </c>
      <c r="AQ105" s="185">
        <f t="shared" si="6"/>
        <v>0</v>
      </c>
      <c r="AR105" s="185">
        <f t="shared" si="7"/>
        <v>0</v>
      </c>
      <c r="AS105" s="185">
        <f t="shared" si="8"/>
        <v>0</v>
      </c>
      <c r="AT105" s="185">
        <f t="shared" si="9"/>
        <v>0</v>
      </c>
      <c r="AU105" s="185">
        <f t="shared" si="10"/>
        <v>0</v>
      </c>
      <c r="AV105" s="185">
        <f t="shared" si="11"/>
        <v>0</v>
      </c>
      <c r="AW105" s="185">
        <f t="shared" si="12"/>
        <v>0</v>
      </c>
      <c r="AX105" s="185">
        <f t="shared" si="13"/>
        <v>0</v>
      </c>
      <c r="AY105" s="185">
        <f t="shared" si="14"/>
        <v>0</v>
      </c>
      <c r="AZ105" s="185">
        <f t="shared" si="15"/>
        <v>0</v>
      </c>
      <c r="BA105" s="185">
        <f t="shared" si="16"/>
        <v>0</v>
      </c>
      <c r="BB105" s="185">
        <f t="shared" si="17"/>
        <v>0</v>
      </c>
      <c r="BC105" s="185">
        <f t="shared" si="18"/>
        <v>0</v>
      </c>
      <c r="BD105" s="185">
        <f t="shared" si="19"/>
        <v>0</v>
      </c>
      <c r="BE105" s="185">
        <f t="shared" si="20"/>
        <v>0</v>
      </c>
    </row>
    <row r="106" spans="1:57" s="90" customFormat="1" ht="15" hidden="1" customHeight="1" x14ac:dyDescent="0.25">
      <c r="A106" s="187" t="b">
        <v>1</v>
      </c>
      <c r="B106" s="188" t="b">
        <v>1</v>
      </c>
      <c r="C106" s="179" t="e">
        <f t="shared" si="25"/>
        <v>#N/A</v>
      </c>
      <c r="E106" s="180">
        <v>2077</v>
      </c>
      <c r="F106" s="100">
        <f t="shared" si="23"/>
        <v>94</v>
      </c>
      <c r="G106" s="181">
        <f t="shared" si="26"/>
        <v>-24</v>
      </c>
      <c r="H106" s="181" t="e">
        <f t="shared" si="27"/>
        <v>#N/A</v>
      </c>
      <c r="J106" s="182">
        <v>0</v>
      </c>
      <c r="K106" s="101"/>
      <c r="L106" s="183" t="e">
        <f t="shared" si="22"/>
        <v>#N/A</v>
      </c>
      <c r="M106" s="184"/>
      <c r="N106" s="91"/>
      <c r="O106" s="91"/>
      <c r="P106" s="90">
        <v>0</v>
      </c>
      <c r="Q106" s="87">
        <v>1</v>
      </c>
      <c r="R106" s="185">
        <v>0</v>
      </c>
      <c r="S106" s="185">
        <v>0</v>
      </c>
      <c r="T106" s="185">
        <v>0</v>
      </c>
      <c r="U106" s="185">
        <v>0</v>
      </c>
      <c r="V106" s="182">
        <v>0</v>
      </c>
      <c r="W106" s="182">
        <v>0</v>
      </c>
      <c r="X106" s="182">
        <v>0</v>
      </c>
      <c r="Y106" s="182">
        <v>0</v>
      </c>
      <c r="Z106" s="182">
        <v>0</v>
      </c>
      <c r="AA106" s="182">
        <v>0</v>
      </c>
      <c r="AB106" s="182">
        <v>0</v>
      </c>
      <c r="AC106" s="182">
        <v>0</v>
      </c>
      <c r="AD106" s="182">
        <v>0</v>
      </c>
      <c r="AE106" s="182">
        <v>0</v>
      </c>
      <c r="AF106" s="182">
        <v>0</v>
      </c>
      <c r="AG106" s="182">
        <v>0</v>
      </c>
      <c r="AH106" s="182">
        <v>0</v>
      </c>
      <c r="AI106" s="182">
        <v>0</v>
      </c>
      <c r="AJ106" s="182">
        <v>0</v>
      </c>
      <c r="AL106" s="185">
        <f t="shared" si="24"/>
        <v>1</v>
      </c>
      <c r="AM106" s="185">
        <f t="shared" si="2"/>
        <v>0</v>
      </c>
      <c r="AN106" s="185">
        <f t="shared" si="3"/>
        <v>0</v>
      </c>
      <c r="AO106" s="185">
        <f t="shared" si="4"/>
        <v>0</v>
      </c>
      <c r="AP106" s="185">
        <f t="shared" si="5"/>
        <v>0</v>
      </c>
      <c r="AQ106" s="185">
        <f t="shared" si="6"/>
        <v>0</v>
      </c>
      <c r="AR106" s="185">
        <f t="shared" si="7"/>
        <v>0</v>
      </c>
      <c r="AS106" s="185">
        <f t="shared" si="8"/>
        <v>0</v>
      </c>
      <c r="AT106" s="185">
        <f t="shared" si="9"/>
        <v>0</v>
      </c>
      <c r="AU106" s="185">
        <f t="shared" si="10"/>
        <v>0</v>
      </c>
      <c r="AV106" s="185">
        <f t="shared" si="11"/>
        <v>0</v>
      </c>
      <c r="AW106" s="185">
        <f t="shared" si="12"/>
        <v>0</v>
      </c>
      <c r="AX106" s="185">
        <f t="shared" si="13"/>
        <v>0</v>
      </c>
      <c r="AY106" s="185">
        <f t="shared" si="14"/>
        <v>0</v>
      </c>
      <c r="AZ106" s="185">
        <f t="shared" si="15"/>
        <v>0</v>
      </c>
      <c r="BA106" s="185">
        <f t="shared" si="16"/>
        <v>0</v>
      </c>
      <c r="BB106" s="185">
        <f t="shared" si="17"/>
        <v>0</v>
      </c>
      <c r="BC106" s="185">
        <f t="shared" si="18"/>
        <v>0</v>
      </c>
      <c r="BD106" s="185">
        <f t="shared" si="19"/>
        <v>0</v>
      </c>
      <c r="BE106" s="185">
        <f t="shared" si="20"/>
        <v>0</v>
      </c>
    </row>
    <row r="107" spans="1:57" s="90" customFormat="1" ht="15" hidden="1" customHeight="1" x14ac:dyDescent="0.25">
      <c r="A107" s="187" t="b">
        <v>1</v>
      </c>
      <c r="B107" s="188" t="b">
        <v>1</v>
      </c>
      <c r="C107" s="179" t="e">
        <f t="shared" si="25"/>
        <v>#N/A</v>
      </c>
      <c r="E107" s="180">
        <v>2078</v>
      </c>
      <c r="F107" s="100">
        <f t="shared" si="23"/>
        <v>95</v>
      </c>
      <c r="G107" s="181">
        <f t="shared" si="26"/>
        <v>-25</v>
      </c>
      <c r="H107" s="181" t="e">
        <f t="shared" si="27"/>
        <v>#N/A</v>
      </c>
      <c r="J107" s="182">
        <v>0</v>
      </c>
      <c r="K107" s="101"/>
      <c r="L107" s="183" t="e">
        <f t="shared" si="22"/>
        <v>#N/A</v>
      </c>
      <c r="M107" s="184"/>
      <c r="N107" s="91"/>
      <c r="O107" s="91"/>
      <c r="P107" s="90">
        <v>0</v>
      </c>
      <c r="Q107" s="87">
        <v>1</v>
      </c>
      <c r="R107" s="185">
        <v>0</v>
      </c>
      <c r="S107" s="185">
        <v>0</v>
      </c>
      <c r="T107" s="185">
        <v>0</v>
      </c>
      <c r="U107" s="185">
        <v>0</v>
      </c>
      <c r="V107" s="182">
        <v>0</v>
      </c>
      <c r="W107" s="182">
        <v>0</v>
      </c>
      <c r="X107" s="182">
        <v>0</v>
      </c>
      <c r="Y107" s="182">
        <v>0</v>
      </c>
      <c r="Z107" s="182">
        <v>0</v>
      </c>
      <c r="AA107" s="182">
        <v>0</v>
      </c>
      <c r="AB107" s="182">
        <v>0</v>
      </c>
      <c r="AC107" s="182">
        <v>0</v>
      </c>
      <c r="AD107" s="182">
        <v>0</v>
      </c>
      <c r="AE107" s="182">
        <v>0</v>
      </c>
      <c r="AF107" s="182">
        <v>0</v>
      </c>
      <c r="AG107" s="182">
        <v>0</v>
      </c>
      <c r="AH107" s="182">
        <v>0</v>
      </c>
      <c r="AI107" s="182">
        <v>0</v>
      </c>
      <c r="AJ107" s="182">
        <v>0</v>
      </c>
      <c r="AL107" s="185">
        <f t="shared" si="24"/>
        <v>1</v>
      </c>
      <c r="AM107" s="185">
        <f t="shared" si="2"/>
        <v>0</v>
      </c>
      <c r="AN107" s="185">
        <f t="shared" si="3"/>
        <v>0</v>
      </c>
      <c r="AO107" s="185">
        <f t="shared" si="4"/>
        <v>0</v>
      </c>
      <c r="AP107" s="185">
        <f t="shared" si="5"/>
        <v>0</v>
      </c>
      <c r="AQ107" s="185">
        <f t="shared" si="6"/>
        <v>0</v>
      </c>
      <c r="AR107" s="185">
        <f t="shared" si="7"/>
        <v>0</v>
      </c>
      <c r="AS107" s="185">
        <f t="shared" si="8"/>
        <v>0</v>
      </c>
      <c r="AT107" s="185">
        <f t="shared" si="9"/>
        <v>0</v>
      </c>
      <c r="AU107" s="185">
        <f t="shared" si="10"/>
        <v>0</v>
      </c>
      <c r="AV107" s="185">
        <f t="shared" si="11"/>
        <v>0</v>
      </c>
      <c r="AW107" s="185">
        <f t="shared" si="12"/>
        <v>0</v>
      </c>
      <c r="AX107" s="185">
        <f t="shared" si="13"/>
        <v>0</v>
      </c>
      <c r="AY107" s="185">
        <f t="shared" si="14"/>
        <v>0</v>
      </c>
      <c r="AZ107" s="185">
        <f t="shared" si="15"/>
        <v>0</v>
      </c>
      <c r="BA107" s="185">
        <f t="shared" si="16"/>
        <v>0</v>
      </c>
      <c r="BB107" s="185">
        <f t="shared" si="17"/>
        <v>0</v>
      </c>
      <c r="BC107" s="185">
        <f t="shared" si="18"/>
        <v>0</v>
      </c>
      <c r="BD107" s="185">
        <f t="shared" si="19"/>
        <v>0</v>
      </c>
      <c r="BE107" s="185">
        <f t="shared" si="20"/>
        <v>0</v>
      </c>
    </row>
    <row r="108" spans="1:57" s="90" customFormat="1" ht="15" hidden="1" customHeight="1" x14ac:dyDescent="0.25">
      <c r="A108" s="187" t="b">
        <v>1</v>
      </c>
      <c r="B108" s="188" t="b">
        <v>1</v>
      </c>
      <c r="C108" s="179" t="e">
        <f t="shared" si="25"/>
        <v>#N/A</v>
      </c>
      <c r="E108" s="180">
        <v>2079</v>
      </c>
      <c r="F108" s="100">
        <f t="shared" si="23"/>
        <v>96</v>
      </c>
      <c r="G108" s="181">
        <f t="shared" si="26"/>
        <v>-26</v>
      </c>
      <c r="H108" s="181" t="e">
        <f t="shared" si="27"/>
        <v>#N/A</v>
      </c>
      <c r="J108" s="182">
        <v>0</v>
      </c>
      <c r="K108" s="101"/>
      <c r="L108" s="183" t="e">
        <f t="shared" si="22"/>
        <v>#N/A</v>
      </c>
      <c r="M108" s="184"/>
      <c r="N108" s="91"/>
      <c r="O108" s="91"/>
      <c r="P108" s="90">
        <v>0</v>
      </c>
      <c r="Q108" s="87">
        <v>1</v>
      </c>
      <c r="R108" s="185">
        <v>0</v>
      </c>
      <c r="S108" s="185">
        <v>0</v>
      </c>
      <c r="T108" s="185">
        <v>0</v>
      </c>
      <c r="U108" s="185">
        <v>0</v>
      </c>
      <c r="V108" s="182">
        <v>0</v>
      </c>
      <c r="W108" s="182">
        <v>0</v>
      </c>
      <c r="X108" s="182">
        <v>0</v>
      </c>
      <c r="Y108" s="182">
        <v>0</v>
      </c>
      <c r="Z108" s="182">
        <v>0</v>
      </c>
      <c r="AA108" s="182">
        <v>0</v>
      </c>
      <c r="AB108" s="182">
        <v>0</v>
      </c>
      <c r="AC108" s="182">
        <v>0</v>
      </c>
      <c r="AD108" s="182">
        <v>0</v>
      </c>
      <c r="AE108" s="182">
        <v>0</v>
      </c>
      <c r="AF108" s="182">
        <v>0</v>
      </c>
      <c r="AG108" s="182">
        <v>0</v>
      </c>
      <c r="AH108" s="182">
        <v>0</v>
      </c>
      <c r="AI108" s="182">
        <v>0</v>
      </c>
      <c r="AJ108" s="182">
        <v>0</v>
      </c>
      <c r="AL108" s="185">
        <f t="shared" si="24"/>
        <v>1</v>
      </c>
      <c r="AM108" s="185">
        <f t="shared" si="2"/>
        <v>0</v>
      </c>
      <c r="AN108" s="185">
        <f t="shared" si="3"/>
        <v>0</v>
      </c>
      <c r="AO108" s="185">
        <f t="shared" si="4"/>
        <v>0</v>
      </c>
      <c r="AP108" s="185">
        <f t="shared" si="5"/>
        <v>0</v>
      </c>
      <c r="AQ108" s="185">
        <f t="shared" si="6"/>
        <v>0</v>
      </c>
      <c r="AR108" s="185">
        <f t="shared" si="7"/>
        <v>0</v>
      </c>
      <c r="AS108" s="185">
        <f t="shared" si="8"/>
        <v>0</v>
      </c>
      <c r="AT108" s="185">
        <f t="shared" si="9"/>
        <v>0</v>
      </c>
      <c r="AU108" s="185">
        <f t="shared" si="10"/>
        <v>0</v>
      </c>
      <c r="AV108" s="185">
        <f t="shared" si="11"/>
        <v>0</v>
      </c>
      <c r="AW108" s="185">
        <f t="shared" si="12"/>
        <v>0</v>
      </c>
      <c r="AX108" s="185">
        <f t="shared" si="13"/>
        <v>0</v>
      </c>
      <c r="AY108" s="185">
        <f t="shared" si="14"/>
        <v>0</v>
      </c>
      <c r="AZ108" s="185">
        <f t="shared" si="15"/>
        <v>0</v>
      </c>
      <c r="BA108" s="185">
        <f t="shared" si="16"/>
        <v>0</v>
      </c>
      <c r="BB108" s="185">
        <f t="shared" si="17"/>
        <v>0</v>
      </c>
      <c r="BC108" s="185">
        <f t="shared" si="18"/>
        <v>0</v>
      </c>
      <c r="BD108" s="185">
        <f t="shared" si="19"/>
        <v>0</v>
      </c>
      <c r="BE108" s="185">
        <f t="shared" si="20"/>
        <v>0</v>
      </c>
    </row>
    <row r="109" spans="1:57" s="90" customFormat="1" ht="15" hidden="1" customHeight="1" x14ac:dyDescent="0.25">
      <c r="A109" s="187" t="b">
        <v>1</v>
      </c>
      <c r="B109" s="188" t="b">
        <v>1</v>
      </c>
      <c r="C109" s="179" t="e">
        <f t="shared" si="25"/>
        <v>#N/A</v>
      </c>
      <c r="E109" s="180">
        <v>2080</v>
      </c>
      <c r="F109" s="100">
        <f t="shared" si="23"/>
        <v>97</v>
      </c>
      <c r="G109" s="181">
        <f t="shared" si="26"/>
        <v>-27</v>
      </c>
      <c r="H109" s="181" t="e">
        <f t="shared" si="27"/>
        <v>#N/A</v>
      </c>
      <c r="J109" s="182">
        <v>0</v>
      </c>
      <c r="K109" s="101"/>
      <c r="L109" s="183" t="e">
        <f t="shared" si="22"/>
        <v>#N/A</v>
      </c>
      <c r="M109" s="184"/>
      <c r="N109" s="91"/>
      <c r="O109" s="91"/>
      <c r="P109" s="90">
        <v>0</v>
      </c>
      <c r="Q109" s="87">
        <v>1</v>
      </c>
      <c r="R109" s="185">
        <v>0</v>
      </c>
      <c r="S109" s="185">
        <v>0</v>
      </c>
      <c r="T109" s="185">
        <v>0</v>
      </c>
      <c r="U109" s="185">
        <v>0</v>
      </c>
      <c r="V109" s="182">
        <v>0</v>
      </c>
      <c r="W109" s="182">
        <v>0</v>
      </c>
      <c r="X109" s="182">
        <v>0</v>
      </c>
      <c r="Y109" s="182">
        <v>0</v>
      </c>
      <c r="Z109" s="182">
        <v>0</v>
      </c>
      <c r="AA109" s="182">
        <v>0</v>
      </c>
      <c r="AB109" s="182">
        <v>0</v>
      </c>
      <c r="AC109" s="182">
        <v>0</v>
      </c>
      <c r="AD109" s="182">
        <v>0</v>
      </c>
      <c r="AE109" s="182">
        <v>0</v>
      </c>
      <c r="AF109" s="182">
        <v>0</v>
      </c>
      <c r="AG109" s="182">
        <v>0</v>
      </c>
      <c r="AH109" s="182">
        <v>0</v>
      </c>
      <c r="AI109" s="182">
        <v>0</v>
      </c>
      <c r="AJ109" s="182">
        <v>0</v>
      </c>
      <c r="AL109" s="185">
        <f t="shared" si="24"/>
        <v>1</v>
      </c>
      <c r="AM109" s="185">
        <f t="shared" si="2"/>
        <v>0</v>
      </c>
      <c r="AN109" s="185">
        <f t="shared" si="3"/>
        <v>0</v>
      </c>
      <c r="AO109" s="185">
        <f t="shared" si="4"/>
        <v>0</v>
      </c>
      <c r="AP109" s="185">
        <f t="shared" si="5"/>
        <v>0</v>
      </c>
      <c r="AQ109" s="185">
        <f t="shared" si="6"/>
        <v>0</v>
      </c>
      <c r="AR109" s="185">
        <f t="shared" si="7"/>
        <v>0</v>
      </c>
      <c r="AS109" s="185">
        <f t="shared" si="8"/>
        <v>0</v>
      </c>
      <c r="AT109" s="185">
        <f t="shared" si="9"/>
        <v>0</v>
      </c>
      <c r="AU109" s="185">
        <f t="shared" si="10"/>
        <v>0</v>
      </c>
      <c r="AV109" s="185">
        <f t="shared" si="11"/>
        <v>0</v>
      </c>
      <c r="AW109" s="185">
        <f t="shared" si="12"/>
        <v>0</v>
      </c>
      <c r="AX109" s="185">
        <f t="shared" si="13"/>
        <v>0</v>
      </c>
      <c r="AY109" s="185">
        <f t="shared" si="14"/>
        <v>0</v>
      </c>
      <c r="AZ109" s="185">
        <f t="shared" si="15"/>
        <v>0</v>
      </c>
      <c r="BA109" s="185">
        <f t="shared" si="16"/>
        <v>0</v>
      </c>
      <c r="BB109" s="185">
        <f t="shared" si="17"/>
        <v>0</v>
      </c>
      <c r="BC109" s="185">
        <f t="shared" si="18"/>
        <v>0</v>
      </c>
      <c r="BD109" s="185">
        <f t="shared" si="19"/>
        <v>0</v>
      </c>
      <c r="BE109" s="185">
        <f t="shared" si="20"/>
        <v>0</v>
      </c>
    </row>
    <row r="110" spans="1:57" s="90" customFormat="1" ht="15" hidden="1" customHeight="1" x14ac:dyDescent="0.25">
      <c r="A110" s="187" t="b">
        <v>1</v>
      </c>
      <c r="B110" s="188" t="b">
        <v>1</v>
      </c>
      <c r="C110" s="179" t="e">
        <f t="shared" si="25"/>
        <v>#N/A</v>
      </c>
      <c r="E110" s="180">
        <v>2081</v>
      </c>
      <c r="F110" s="100">
        <f t="shared" si="23"/>
        <v>98</v>
      </c>
      <c r="G110" s="181">
        <f t="shared" si="26"/>
        <v>-28</v>
      </c>
      <c r="H110" s="181" t="e">
        <f t="shared" si="27"/>
        <v>#N/A</v>
      </c>
      <c r="J110" s="182">
        <v>0</v>
      </c>
      <c r="K110" s="101"/>
      <c r="L110" s="183" t="e">
        <f t="shared" si="22"/>
        <v>#N/A</v>
      </c>
      <c r="M110" s="184"/>
      <c r="N110" s="91"/>
      <c r="O110" s="91"/>
      <c r="P110" s="90">
        <v>0</v>
      </c>
      <c r="Q110" s="87">
        <v>1</v>
      </c>
      <c r="R110" s="185">
        <v>0</v>
      </c>
      <c r="S110" s="185">
        <v>0</v>
      </c>
      <c r="T110" s="185">
        <v>0</v>
      </c>
      <c r="U110" s="185">
        <v>0</v>
      </c>
      <c r="V110" s="182">
        <v>0</v>
      </c>
      <c r="W110" s="182">
        <v>0</v>
      </c>
      <c r="X110" s="182">
        <v>0</v>
      </c>
      <c r="Y110" s="182">
        <v>0</v>
      </c>
      <c r="Z110" s="182">
        <v>0</v>
      </c>
      <c r="AA110" s="182">
        <v>0</v>
      </c>
      <c r="AB110" s="182">
        <v>0</v>
      </c>
      <c r="AC110" s="182">
        <v>0</v>
      </c>
      <c r="AD110" s="182">
        <v>0</v>
      </c>
      <c r="AE110" s="182">
        <v>0</v>
      </c>
      <c r="AF110" s="182">
        <v>0</v>
      </c>
      <c r="AG110" s="182">
        <v>0</v>
      </c>
      <c r="AH110" s="182">
        <v>0</v>
      </c>
      <c r="AI110" s="182">
        <v>0</v>
      </c>
      <c r="AJ110" s="182">
        <v>0</v>
      </c>
      <c r="AL110" s="185">
        <f t="shared" si="24"/>
        <v>1</v>
      </c>
      <c r="AM110" s="185">
        <f t="shared" si="2"/>
        <v>0</v>
      </c>
      <c r="AN110" s="185">
        <f t="shared" si="3"/>
        <v>0</v>
      </c>
      <c r="AO110" s="185">
        <f t="shared" si="4"/>
        <v>0</v>
      </c>
      <c r="AP110" s="185">
        <f t="shared" si="5"/>
        <v>0</v>
      </c>
      <c r="AQ110" s="185">
        <f t="shared" si="6"/>
        <v>0</v>
      </c>
      <c r="AR110" s="185">
        <f t="shared" si="7"/>
        <v>0</v>
      </c>
      <c r="AS110" s="185">
        <f t="shared" si="8"/>
        <v>0</v>
      </c>
      <c r="AT110" s="185">
        <f t="shared" si="9"/>
        <v>0</v>
      </c>
      <c r="AU110" s="185">
        <f t="shared" si="10"/>
        <v>0</v>
      </c>
      <c r="AV110" s="185">
        <f t="shared" si="11"/>
        <v>0</v>
      </c>
      <c r="AW110" s="185">
        <f t="shared" si="12"/>
        <v>0</v>
      </c>
      <c r="AX110" s="185">
        <f t="shared" si="13"/>
        <v>0</v>
      </c>
      <c r="AY110" s="185">
        <f t="shared" si="14"/>
        <v>0</v>
      </c>
      <c r="AZ110" s="185">
        <f t="shared" si="15"/>
        <v>0</v>
      </c>
      <c r="BA110" s="185">
        <f t="shared" si="16"/>
        <v>0</v>
      </c>
      <c r="BB110" s="185">
        <f t="shared" si="17"/>
        <v>0</v>
      </c>
      <c r="BC110" s="185">
        <f t="shared" si="18"/>
        <v>0</v>
      </c>
      <c r="BD110" s="185">
        <f t="shared" si="19"/>
        <v>0</v>
      </c>
      <c r="BE110" s="185">
        <f t="shared" si="20"/>
        <v>0</v>
      </c>
    </row>
    <row r="111" spans="1:57" s="90" customFormat="1" ht="15" hidden="1" customHeight="1" x14ac:dyDescent="0.25">
      <c r="A111" s="187" t="b">
        <v>1</v>
      </c>
      <c r="B111" s="188" t="b">
        <v>1</v>
      </c>
      <c r="C111" s="179" t="e">
        <f t="shared" ref="C111:C147" si="28">INDEX(CareerWageGrowthData,MATCH(MIN(F111, MAX(CareerAge)),CareerAge,0),MATCH(CountryAbbrev,CareerCountries,0))</f>
        <v>#N/A</v>
      </c>
      <c r="E111" s="180">
        <v>2082</v>
      </c>
      <c r="F111" s="100">
        <f t="shared" si="23"/>
        <v>99</v>
      </c>
      <c r="G111" s="181">
        <f t="shared" ref="G111:G142" si="29">Pension_age-F111</f>
        <v>-29</v>
      </c>
      <c r="H111" s="181" t="e">
        <f t="shared" si="27"/>
        <v>#N/A</v>
      </c>
      <c r="J111" s="182">
        <v>0</v>
      </c>
      <c r="K111" s="101"/>
      <c r="L111" s="183" t="e">
        <f t="shared" si="22"/>
        <v>#N/A</v>
      </c>
      <c r="M111" s="184"/>
      <c r="N111" s="91"/>
      <c r="O111" s="91"/>
      <c r="P111" s="90">
        <v>0</v>
      </c>
      <c r="Q111" s="87">
        <v>1</v>
      </c>
      <c r="R111" s="185">
        <v>0</v>
      </c>
      <c r="S111" s="185">
        <v>0</v>
      </c>
      <c r="T111" s="185">
        <v>0</v>
      </c>
      <c r="U111" s="185">
        <v>0</v>
      </c>
      <c r="V111" s="182">
        <v>0</v>
      </c>
      <c r="W111" s="182">
        <v>0</v>
      </c>
      <c r="X111" s="182">
        <v>0</v>
      </c>
      <c r="Y111" s="182">
        <v>0</v>
      </c>
      <c r="Z111" s="182">
        <v>0</v>
      </c>
      <c r="AA111" s="182">
        <v>0</v>
      </c>
      <c r="AB111" s="182">
        <v>0</v>
      </c>
      <c r="AC111" s="182">
        <v>0</v>
      </c>
      <c r="AD111" s="182">
        <v>0</v>
      </c>
      <c r="AE111" s="182">
        <v>0</v>
      </c>
      <c r="AF111" s="182">
        <v>0</v>
      </c>
      <c r="AG111" s="182">
        <v>0</v>
      </c>
      <c r="AH111" s="182">
        <v>0</v>
      </c>
      <c r="AI111" s="182">
        <v>0</v>
      </c>
      <c r="AJ111" s="182">
        <v>0</v>
      </c>
      <c r="AL111" s="185">
        <f t="shared" si="24"/>
        <v>1</v>
      </c>
      <c r="AM111" s="185">
        <f t="shared" ref="AM111:AM147" si="30">R111</f>
        <v>0</v>
      </c>
      <c r="AN111" s="185">
        <f t="shared" ref="AN111:AN147" si="31">S111</f>
        <v>0</v>
      </c>
      <c r="AO111" s="185">
        <f t="shared" ref="AO111:AO147" si="32">T111</f>
        <v>0</v>
      </c>
      <c r="AP111" s="185">
        <f t="shared" ref="AP111:AP147" si="33">U111</f>
        <v>0</v>
      </c>
      <c r="AQ111" s="185">
        <f t="shared" ref="AQ111:AQ147" si="34">V111</f>
        <v>0</v>
      </c>
      <c r="AR111" s="185">
        <f t="shared" ref="AR111:AR147" si="35">W111</f>
        <v>0</v>
      </c>
      <c r="AS111" s="185">
        <f t="shared" ref="AS111:AS147" si="36">X111</f>
        <v>0</v>
      </c>
      <c r="AT111" s="185">
        <f t="shared" ref="AT111:AT147" si="37">Y111</f>
        <v>0</v>
      </c>
      <c r="AU111" s="185">
        <f t="shared" ref="AU111:AU147" si="38">Z111</f>
        <v>0</v>
      </c>
      <c r="AV111" s="185">
        <f t="shared" ref="AV111:AV147" si="39">AA111</f>
        <v>0</v>
      </c>
      <c r="AW111" s="185">
        <f t="shared" ref="AW111:AW147" si="40">AB111</f>
        <v>0</v>
      </c>
      <c r="AX111" s="185">
        <f t="shared" ref="AX111:AX147" si="41">AC111</f>
        <v>0</v>
      </c>
      <c r="AY111" s="185">
        <f t="shared" ref="AY111:AY147" si="42">AD111</f>
        <v>0</v>
      </c>
      <c r="AZ111" s="185">
        <f t="shared" ref="AZ111:AZ147" si="43">AE111</f>
        <v>0</v>
      </c>
      <c r="BA111" s="185">
        <f t="shared" ref="BA111:BA147" si="44">AF111</f>
        <v>0</v>
      </c>
      <c r="BB111" s="185">
        <f t="shared" ref="BB111:BB147" si="45">AG111</f>
        <v>0</v>
      </c>
      <c r="BC111" s="185">
        <f t="shared" ref="BC111:BC147" si="46">AH111</f>
        <v>0</v>
      </c>
      <c r="BD111" s="185">
        <f t="shared" ref="BD111:BD147" si="47">AI111</f>
        <v>0</v>
      </c>
      <c r="BE111" s="185">
        <f t="shared" ref="BE111:BE147" si="48">AJ111</f>
        <v>0</v>
      </c>
    </row>
    <row r="112" spans="1:57" s="90" customFormat="1" ht="15" hidden="1" customHeight="1" x14ac:dyDescent="0.25">
      <c r="A112" s="187" t="b">
        <v>1</v>
      </c>
      <c r="B112" s="188" t="b">
        <v>1</v>
      </c>
      <c r="C112" s="179" t="e">
        <f t="shared" si="28"/>
        <v>#N/A</v>
      </c>
      <c r="E112" s="180">
        <v>2083</v>
      </c>
      <c r="F112" s="100">
        <f t="shared" si="23"/>
        <v>100</v>
      </c>
      <c r="G112" s="181">
        <f t="shared" si="29"/>
        <v>-30</v>
      </c>
      <c r="H112" s="181" t="e">
        <f t="shared" ref="H112:H147" si="49">H111*(1+L112)*(1+Projection_real_wage_growth)</f>
        <v>#N/A</v>
      </c>
      <c r="J112" s="182">
        <v>0</v>
      </c>
      <c r="K112" s="101"/>
      <c r="L112" s="183" t="e">
        <f t="shared" ref="L112:L147" si="50">IF($M112="",$C112,$M112)</f>
        <v>#N/A</v>
      </c>
      <c r="M112" s="184"/>
      <c r="N112" s="91"/>
      <c r="O112" s="91"/>
      <c r="P112" s="90">
        <v>0</v>
      </c>
      <c r="Q112" s="87">
        <v>1</v>
      </c>
      <c r="R112" s="185">
        <v>0</v>
      </c>
      <c r="S112" s="185">
        <v>0</v>
      </c>
      <c r="T112" s="185">
        <v>0</v>
      </c>
      <c r="U112" s="185">
        <v>0</v>
      </c>
      <c r="V112" s="182">
        <v>0</v>
      </c>
      <c r="W112" s="182">
        <v>0</v>
      </c>
      <c r="X112" s="182">
        <v>0</v>
      </c>
      <c r="Y112" s="182">
        <v>0</v>
      </c>
      <c r="Z112" s="182">
        <v>0</v>
      </c>
      <c r="AA112" s="182">
        <v>0</v>
      </c>
      <c r="AB112" s="182">
        <v>0</v>
      </c>
      <c r="AC112" s="182">
        <v>0</v>
      </c>
      <c r="AD112" s="182">
        <v>0</v>
      </c>
      <c r="AE112" s="182">
        <v>0</v>
      </c>
      <c r="AF112" s="182">
        <v>0</v>
      </c>
      <c r="AG112" s="182">
        <v>0</v>
      </c>
      <c r="AH112" s="182">
        <v>0</v>
      </c>
      <c r="AI112" s="182">
        <v>0</v>
      </c>
      <c r="AJ112" s="182">
        <v>0</v>
      </c>
      <c r="AL112" s="185">
        <f t="shared" ref="AL112:AL147" si="51">Q112</f>
        <v>1</v>
      </c>
      <c r="AM112" s="185">
        <f t="shared" si="30"/>
        <v>0</v>
      </c>
      <c r="AN112" s="185">
        <f t="shared" si="31"/>
        <v>0</v>
      </c>
      <c r="AO112" s="185">
        <f t="shared" si="32"/>
        <v>0</v>
      </c>
      <c r="AP112" s="185">
        <f t="shared" si="33"/>
        <v>0</v>
      </c>
      <c r="AQ112" s="185">
        <f t="shared" si="34"/>
        <v>0</v>
      </c>
      <c r="AR112" s="185">
        <f t="shared" si="35"/>
        <v>0</v>
      </c>
      <c r="AS112" s="185">
        <f t="shared" si="36"/>
        <v>0</v>
      </c>
      <c r="AT112" s="185">
        <f t="shared" si="37"/>
        <v>0</v>
      </c>
      <c r="AU112" s="185">
        <f t="shared" si="38"/>
        <v>0</v>
      </c>
      <c r="AV112" s="185">
        <f t="shared" si="39"/>
        <v>0</v>
      </c>
      <c r="AW112" s="185">
        <f t="shared" si="40"/>
        <v>0</v>
      </c>
      <c r="AX112" s="185">
        <f t="shared" si="41"/>
        <v>0</v>
      </c>
      <c r="AY112" s="185">
        <f t="shared" si="42"/>
        <v>0</v>
      </c>
      <c r="AZ112" s="185">
        <f t="shared" si="43"/>
        <v>0</v>
      </c>
      <c r="BA112" s="185">
        <f t="shared" si="44"/>
        <v>0</v>
      </c>
      <c r="BB112" s="185">
        <f t="shared" si="45"/>
        <v>0</v>
      </c>
      <c r="BC112" s="185">
        <f t="shared" si="46"/>
        <v>0</v>
      </c>
      <c r="BD112" s="185">
        <f t="shared" si="47"/>
        <v>0</v>
      </c>
      <c r="BE112" s="185">
        <f t="shared" si="48"/>
        <v>0</v>
      </c>
    </row>
    <row r="113" spans="1:57" s="90" customFormat="1" ht="15" hidden="1" customHeight="1" x14ac:dyDescent="0.25">
      <c r="A113" s="187" t="b">
        <v>1</v>
      </c>
      <c r="B113" s="188" t="b">
        <v>1</v>
      </c>
      <c r="C113" s="179" t="e">
        <f t="shared" si="28"/>
        <v>#N/A</v>
      </c>
      <c r="E113" s="180">
        <v>2084</v>
      </c>
      <c r="F113" s="100">
        <f t="shared" ref="F113:F147" si="52">F112+1</f>
        <v>101</v>
      </c>
      <c r="G113" s="181">
        <f t="shared" si="29"/>
        <v>-31</v>
      </c>
      <c r="H113" s="181" t="e">
        <f t="shared" si="49"/>
        <v>#N/A</v>
      </c>
      <c r="J113" s="182">
        <v>0</v>
      </c>
      <c r="K113" s="101"/>
      <c r="L113" s="183" t="e">
        <f t="shared" si="50"/>
        <v>#N/A</v>
      </c>
      <c r="M113" s="184"/>
      <c r="N113" s="91"/>
      <c r="O113" s="91"/>
      <c r="P113" s="90">
        <v>0</v>
      </c>
      <c r="Q113" s="87">
        <v>1</v>
      </c>
      <c r="R113" s="185">
        <v>0</v>
      </c>
      <c r="S113" s="185">
        <v>0</v>
      </c>
      <c r="T113" s="185">
        <v>0</v>
      </c>
      <c r="U113" s="185">
        <v>0</v>
      </c>
      <c r="V113" s="182">
        <v>0</v>
      </c>
      <c r="W113" s="182">
        <v>0</v>
      </c>
      <c r="X113" s="182">
        <v>0</v>
      </c>
      <c r="Y113" s="182">
        <v>0</v>
      </c>
      <c r="Z113" s="182">
        <v>0</v>
      </c>
      <c r="AA113" s="182">
        <v>0</v>
      </c>
      <c r="AB113" s="182">
        <v>0</v>
      </c>
      <c r="AC113" s="182">
        <v>0</v>
      </c>
      <c r="AD113" s="182">
        <v>0</v>
      </c>
      <c r="AE113" s="182">
        <v>0</v>
      </c>
      <c r="AF113" s="182">
        <v>0</v>
      </c>
      <c r="AG113" s="182">
        <v>0</v>
      </c>
      <c r="AH113" s="182">
        <v>0</v>
      </c>
      <c r="AI113" s="182">
        <v>0</v>
      </c>
      <c r="AJ113" s="182">
        <v>0</v>
      </c>
      <c r="AL113" s="185">
        <f t="shared" si="51"/>
        <v>1</v>
      </c>
      <c r="AM113" s="185">
        <f t="shared" si="30"/>
        <v>0</v>
      </c>
      <c r="AN113" s="185">
        <f t="shared" si="31"/>
        <v>0</v>
      </c>
      <c r="AO113" s="185">
        <f t="shared" si="32"/>
        <v>0</v>
      </c>
      <c r="AP113" s="185">
        <f t="shared" si="33"/>
        <v>0</v>
      </c>
      <c r="AQ113" s="185">
        <f t="shared" si="34"/>
        <v>0</v>
      </c>
      <c r="AR113" s="185">
        <f t="shared" si="35"/>
        <v>0</v>
      </c>
      <c r="AS113" s="185">
        <f t="shared" si="36"/>
        <v>0</v>
      </c>
      <c r="AT113" s="185">
        <f t="shared" si="37"/>
        <v>0</v>
      </c>
      <c r="AU113" s="185">
        <f t="shared" si="38"/>
        <v>0</v>
      </c>
      <c r="AV113" s="185">
        <f t="shared" si="39"/>
        <v>0</v>
      </c>
      <c r="AW113" s="185">
        <f t="shared" si="40"/>
        <v>0</v>
      </c>
      <c r="AX113" s="185">
        <f t="shared" si="41"/>
        <v>0</v>
      </c>
      <c r="AY113" s="185">
        <f t="shared" si="42"/>
        <v>0</v>
      </c>
      <c r="AZ113" s="185">
        <f t="shared" si="43"/>
        <v>0</v>
      </c>
      <c r="BA113" s="185">
        <f t="shared" si="44"/>
        <v>0</v>
      </c>
      <c r="BB113" s="185">
        <f t="shared" si="45"/>
        <v>0</v>
      </c>
      <c r="BC113" s="185">
        <f t="shared" si="46"/>
        <v>0</v>
      </c>
      <c r="BD113" s="185">
        <f t="shared" si="47"/>
        <v>0</v>
      </c>
      <c r="BE113" s="185">
        <f t="shared" si="48"/>
        <v>0</v>
      </c>
    </row>
    <row r="114" spans="1:57" s="90" customFormat="1" ht="15" hidden="1" customHeight="1" x14ac:dyDescent="0.25">
      <c r="A114" s="187" t="b">
        <v>1</v>
      </c>
      <c r="B114" s="188" t="b">
        <v>1</v>
      </c>
      <c r="C114" s="179" t="e">
        <f t="shared" si="28"/>
        <v>#N/A</v>
      </c>
      <c r="E114" s="180">
        <v>2085</v>
      </c>
      <c r="F114" s="100">
        <f t="shared" si="52"/>
        <v>102</v>
      </c>
      <c r="G114" s="181">
        <f t="shared" si="29"/>
        <v>-32</v>
      </c>
      <c r="H114" s="181" t="e">
        <f t="shared" si="49"/>
        <v>#N/A</v>
      </c>
      <c r="J114" s="182">
        <v>0</v>
      </c>
      <c r="K114" s="101"/>
      <c r="L114" s="183" t="e">
        <f t="shared" si="50"/>
        <v>#N/A</v>
      </c>
      <c r="M114" s="184"/>
      <c r="N114" s="91"/>
      <c r="O114" s="91"/>
      <c r="P114" s="90">
        <v>0</v>
      </c>
      <c r="Q114" s="87">
        <v>1</v>
      </c>
      <c r="R114" s="185">
        <v>0</v>
      </c>
      <c r="S114" s="185">
        <v>0</v>
      </c>
      <c r="T114" s="185">
        <v>0</v>
      </c>
      <c r="U114" s="185">
        <v>0</v>
      </c>
      <c r="V114" s="182">
        <v>0</v>
      </c>
      <c r="W114" s="182">
        <v>0</v>
      </c>
      <c r="X114" s="182">
        <v>0</v>
      </c>
      <c r="Y114" s="182">
        <v>0</v>
      </c>
      <c r="Z114" s="182">
        <v>0</v>
      </c>
      <c r="AA114" s="182">
        <v>0</v>
      </c>
      <c r="AB114" s="182">
        <v>0</v>
      </c>
      <c r="AC114" s="182">
        <v>0</v>
      </c>
      <c r="AD114" s="182">
        <v>0</v>
      </c>
      <c r="AE114" s="182">
        <v>0</v>
      </c>
      <c r="AF114" s="182">
        <v>0</v>
      </c>
      <c r="AG114" s="182">
        <v>0</v>
      </c>
      <c r="AH114" s="182">
        <v>0</v>
      </c>
      <c r="AI114" s="182">
        <v>0</v>
      </c>
      <c r="AJ114" s="182">
        <v>0</v>
      </c>
      <c r="AL114" s="185">
        <f t="shared" si="51"/>
        <v>1</v>
      </c>
      <c r="AM114" s="185">
        <f t="shared" si="30"/>
        <v>0</v>
      </c>
      <c r="AN114" s="185">
        <f t="shared" si="31"/>
        <v>0</v>
      </c>
      <c r="AO114" s="185">
        <f t="shared" si="32"/>
        <v>0</v>
      </c>
      <c r="AP114" s="185">
        <f t="shared" si="33"/>
        <v>0</v>
      </c>
      <c r="AQ114" s="185">
        <f t="shared" si="34"/>
        <v>0</v>
      </c>
      <c r="AR114" s="185">
        <f t="shared" si="35"/>
        <v>0</v>
      </c>
      <c r="AS114" s="185">
        <f t="shared" si="36"/>
        <v>0</v>
      </c>
      <c r="AT114" s="185">
        <f t="shared" si="37"/>
        <v>0</v>
      </c>
      <c r="AU114" s="185">
        <f t="shared" si="38"/>
        <v>0</v>
      </c>
      <c r="AV114" s="185">
        <f t="shared" si="39"/>
        <v>0</v>
      </c>
      <c r="AW114" s="185">
        <f t="shared" si="40"/>
        <v>0</v>
      </c>
      <c r="AX114" s="185">
        <f t="shared" si="41"/>
        <v>0</v>
      </c>
      <c r="AY114" s="185">
        <f t="shared" si="42"/>
        <v>0</v>
      </c>
      <c r="AZ114" s="185">
        <f t="shared" si="43"/>
        <v>0</v>
      </c>
      <c r="BA114" s="185">
        <f t="shared" si="44"/>
        <v>0</v>
      </c>
      <c r="BB114" s="185">
        <f t="shared" si="45"/>
        <v>0</v>
      </c>
      <c r="BC114" s="185">
        <f t="shared" si="46"/>
        <v>0</v>
      </c>
      <c r="BD114" s="185">
        <f t="shared" si="47"/>
        <v>0</v>
      </c>
      <c r="BE114" s="185">
        <f t="shared" si="48"/>
        <v>0</v>
      </c>
    </row>
    <row r="115" spans="1:57" s="90" customFormat="1" ht="15" hidden="1" customHeight="1" x14ac:dyDescent="0.25">
      <c r="A115" s="187" t="b">
        <v>1</v>
      </c>
      <c r="B115" s="188" t="b">
        <v>1</v>
      </c>
      <c r="C115" s="179" t="e">
        <f t="shared" si="28"/>
        <v>#N/A</v>
      </c>
      <c r="E115" s="180">
        <v>2086</v>
      </c>
      <c r="F115" s="100">
        <f t="shared" si="52"/>
        <v>103</v>
      </c>
      <c r="G115" s="181">
        <f t="shared" si="29"/>
        <v>-33</v>
      </c>
      <c r="H115" s="181" t="e">
        <f t="shared" si="49"/>
        <v>#N/A</v>
      </c>
      <c r="J115" s="182">
        <v>0</v>
      </c>
      <c r="K115" s="101"/>
      <c r="L115" s="183" t="e">
        <f t="shared" si="50"/>
        <v>#N/A</v>
      </c>
      <c r="M115" s="184"/>
      <c r="N115" s="91"/>
      <c r="O115" s="91"/>
      <c r="P115" s="90">
        <v>0</v>
      </c>
      <c r="Q115" s="87">
        <v>1</v>
      </c>
      <c r="R115" s="185">
        <v>0</v>
      </c>
      <c r="S115" s="185">
        <v>0</v>
      </c>
      <c r="T115" s="185">
        <v>0</v>
      </c>
      <c r="U115" s="185">
        <v>0</v>
      </c>
      <c r="V115" s="182">
        <v>0</v>
      </c>
      <c r="W115" s="182">
        <v>0</v>
      </c>
      <c r="X115" s="182">
        <v>0</v>
      </c>
      <c r="Y115" s="182">
        <v>0</v>
      </c>
      <c r="Z115" s="182">
        <v>0</v>
      </c>
      <c r="AA115" s="182">
        <v>0</v>
      </c>
      <c r="AB115" s="182">
        <v>0</v>
      </c>
      <c r="AC115" s="182">
        <v>0</v>
      </c>
      <c r="AD115" s="182">
        <v>0</v>
      </c>
      <c r="AE115" s="182">
        <v>0</v>
      </c>
      <c r="AF115" s="182">
        <v>0</v>
      </c>
      <c r="AG115" s="182">
        <v>0</v>
      </c>
      <c r="AH115" s="182">
        <v>0</v>
      </c>
      <c r="AI115" s="182">
        <v>0</v>
      </c>
      <c r="AJ115" s="182">
        <v>0</v>
      </c>
      <c r="AL115" s="185">
        <f t="shared" si="51"/>
        <v>1</v>
      </c>
      <c r="AM115" s="185">
        <f t="shared" si="30"/>
        <v>0</v>
      </c>
      <c r="AN115" s="185">
        <f t="shared" si="31"/>
        <v>0</v>
      </c>
      <c r="AO115" s="185">
        <f t="shared" si="32"/>
        <v>0</v>
      </c>
      <c r="AP115" s="185">
        <f t="shared" si="33"/>
        <v>0</v>
      </c>
      <c r="AQ115" s="185">
        <f t="shared" si="34"/>
        <v>0</v>
      </c>
      <c r="AR115" s="185">
        <f t="shared" si="35"/>
        <v>0</v>
      </c>
      <c r="AS115" s="185">
        <f t="shared" si="36"/>
        <v>0</v>
      </c>
      <c r="AT115" s="185">
        <f t="shared" si="37"/>
        <v>0</v>
      </c>
      <c r="AU115" s="185">
        <f t="shared" si="38"/>
        <v>0</v>
      </c>
      <c r="AV115" s="185">
        <f t="shared" si="39"/>
        <v>0</v>
      </c>
      <c r="AW115" s="185">
        <f t="shared" si="40"/>
        <v>0</v>
      </c>
      <c r="AX115" s="185">
        <f t="shared" si="41"/>
        <v>0</v>
      </c>
      <c r="AY115" s="185">
        <f t="shared" si="42"/>
        <v>0</v>
      </c>
      <c r="AZ115" s="185">
        <f t="shared" si="43"/>
        <v>0</v>
      </c>
      <c r="BA115" s="185">
        <f t="shared" si="44"/>
        <v>0</v>
      </c>
      <c r="BB115" s="185">
        <f t="shared" si="45"/>
        <v>0</v>
      </c>
      <c r="BC115" s="185">
        <f t="shared" si="46"/>
        <v>0</v>
      </c>
      <c r="BD115" s="185">
        <f t="shared" si="47"/>
        <v>0</v>
      </c>
      <c r="BE115" s="185">
        <f t="shared" si="48"/>
        <v>0</v>
      </c>
    </row>
    <row r="116" spans="1:57" s="90" customFormat="1" ht="15" hidden="1" customHeight="1" x14ac:dyDescent="0.25">
      <c r="A116" s="187" t="b">
        <v>1</v>
      </c>
      <c r="B116" s="188" t="b">
        <v>1</v>
      </c>
      <c r="C116" s="179" t="e">
        <f t="shared" si="28"/>
        <v>#N/A</v>
      </c>
      <c r="E116" s="180">
        <v>2087</v>
      </c>
      <c r="F116" s="100">
        <f t="shared" si="52"/>
        <v>104</v>
      </c>
      <c r="G116" s="181">
        <f t="shared" si="29"/>
        <v>-34</v>
      </c>
      <c r="H116" s="181" t="e">
        <f t="shared" si="49"/>
        <v>#N/A</v>
      </c>
      <c r="J116" s="182">
        <v>0</v>
      </c>
      <c r="K116" s="101"/>
      <c r="L116" s="183" t="e">
        <f t="shared" si="50"/>
        <v>#N/A</v>
      </c>
      <c r="M116" s="184"/>
      <c r="N116" s="91"/>
      <c r="O116" s="91"/>
      <c r="P116" s="90">
        <v>0</v>
      </c>
      <c r="Q116" s="87">
        <v>1</v>
      </c>
      <c r="R116" s="185">
        <v>0</v>
      </c>
      <c r="S116" s="185">
        <v>0</v>
      </c>
      <c r="T116" s="185">
        <v>0</v>
      </c>
      <c r="U116" s="185">
        <v>0</v>
      </c>
      <c r="V116" s="182">
        <v>0</v>
      </c>
      <c r="W116" s="182">
        <v>0</v>
      </c>
      <c r="X116" s="182">
        <v>0</v>
      </c>
      <c r="Y116" s="182">
        <v>0</v>
      </c>
      <c r="Z116" s="182">
        <v>0</v>
      </c>
      <c r="AA116" s="182">
        <v>0</v>
      </c>
      <c r="AB116" s="182">
        <v>0</v>
      </c>
      <c r="AC116" s="182">
        <v>0</v>
      </c>
      <c r="AD116" s="182">
        <v>0</v>
      </c>
      <c r="AE116" s="182">
        <v>0</v>
      </c>
      <c r="AF116" s="182">
        <v>0</v>
      </c>
      <c r="AG116" s="182">
        <v>0</v>
      </c>
      <c r="AH116" s="182">
        <v>0</v>
      </c>
      <c r="AI116" s="182">
        <v>0</v>
      </c>
      <c r="AJ116" s="182">
        <v>0</v>
      </c>
      <c r="AL116" s="185">
        <f t="shared" si="51"/>
        <v>1</v>
      </c>
      <c r="AM116" s="185">
        <f t="shared" si="30"/>
        <v>0</v>
      </c>
      <c r="AN116" s="185">
        <f t="shared" si="31"/>
        <v>0</v>
      </c>
      <c r="AO116" s="185">
        <f t="shared" si="32"/>
        <v>0</v>
      </c>
      <c r="AP116" s="185">
        <f t="shared" si="33"/>
        <v>0</v>
      </c>
      <c r="AQ116" s="185">
        <f t="shared" si="34"/>
        <v>0</v>
      </c>
      <c r="AR116" s="185">
        <f t="shared" si="35"/>
        <v>0</v>
      </c>
      <c r="AS116" s="185">
        <f t="shared" si="36"/>
        <v>0</v>
      </c>
      <c r="AT116" s="185">
        <f t="shared" si="37"/>
        <v>0</v>
      </c>
      <c r="AU116" s="185">
        <f t="shared" si="38"/>
        <v>0</v>
      </c>
      <c r="AV116" s="185">
        <f t="shared" si="39"/>
        <v>0</v>
      </c>
      <c r="AW116" s="185">
        <f t="shared" si="40"/>
        <v>0</v>
      </c>
      <c r="AX116" s="185">
        <f t="shared" si="41"/>
        <v>0</v>
      </c>
      <c r="AY116" s="185">
        <f t="shared" si="42"/>
        <v>0</v>
      </c>
      <c r="AZ116" s="185">
        <f t="shared" si="43"/>
        <v>0</v>
      </c>
      <c r="BA116" s="185">
        <f t="shared" si="44"/>
        <v>0</v>
      </c>
      <c r="BB116" s="185">
        <f t="shared" si="45"/>
        <v>0</v>
      </c>
      <c r="BC116" s="185">
        <f t="shared" si="46"/>
        <v>0</v>
      </c>
      <c r="BD116" s="185">
        <f t="shared" si="47"/>
        <v>0</v>
      </c>
      <c r="BE116" s="185">
        <f t="shared" si="48"/>
        <v>0</v>
      </c>
    </row>
    <row r="117" spans="1:57" s="90" customFormat="1" ht="15" hidden="1" customHeight="1" x14ac:dyDescent="0.25">
      <c r="A117" s="187" t="b">
        <v>1</v>
      </c>
      <c r="B117" s="188" t="b">
        <v>1</v>
      </c>
      <c r="C117" s="179" t="e">
        <f t="shared" si="28"/>
        <v>#N/A</v>
      </c>
      <c r="E117" s="180">
        <v>2088</v>
      </c>
      <c r="F117" s="100">
        <f t="shared" si="52"/>
        <v>105</v>
      </c>
      <c r="G117" s="181">
        <f t="shared" si="29"/>
        <v>-35</v>
      </c>
      <c r="H117" s="181" t="e">
        <f t="shared" si="49"/>
        <v>#N/A</v>
      </c>
      <c r="J117" s="182">
        <v>0</v>
      </c>
      <c r="K117" s="101"/>
      <c r="L117" s="183" t="e">
        <f t="shared" si="50"/>
        <v>#N/A</v>
      </c>
      <c r="M117" s="184"/>
      <c r="N117" s="91"/>
      <c r="O117" s="91"/>
      <c r="P117" s="90">
        <v>0</v>
      </c>
      <c r="Q117" s="87">
        <v>1</v>
      </c>
      <c r="R117" s="185">
        <v>0</v>
      </c>
      <c r="S117" s="185">
        <v>0</v>
      </c>
      <c r="T117" s="185">
        <v>0</v>
      </c>
      <c r="U117" s="185">
        <v>0</v>
      </c>
      <c r="V117" s="182">
        <v>0</v>
      </c>
      <c r="W117" s="182">
        <v>0</v>
      </c>
      <c r="X117" s="182">
        <v>0</v>
      </c>
      <c r="Y117" s="182">
        <v>0</v>
      </c>
      <c r="Z117" s="182">
        <v>0</v>
      </c>
      <c r="AA117" s="182">
        <v>0</v>
      </c>
      <c r="AB117" s="182">
        <v>0</v>
      </c>
      <c r="AC117" s="182">
        <v>0</v>
      </c>
      <c r="AD117" s="182">
        <v>0</v>
      </c>
      <c r="AE117" s="182">
        <v>0</v>
      </c>
      <c r="AF117" s="182">
        <v>0</v>
      </c>
      <c r="AG117" s="182">
        <v>0</v>
      </c>
      <c r="AH117" s="182">
        <v>0</v>
      </c>
      <c r="AI117" s="182">
        <v>0</v>
      </c>
      <c r="AJ117" s="182">
        <v>0</v>
      </c>
      <c r="AL117" s="185">
        <f t="shared" si="51"/>
        <v>1</v>
      </c>
      <c r="AM117" s="185">
        <f t="shared" si="30"/>
        <v>0</v>
      </c>
      <c r="AN117" s="185">
        <f t="shared" si="31"/>
        <v>0</v>
      </c>
      <c r="AO117" s="185">
        <f t="shared" si="32"/>
        <v>0</v>
      </c>
      <c r="AP117" s="185">
        <f t="shared" si="33"/>
        <v>0</v>
      </c>
      <c r="AQ117" s="185">
        <f t="shared" si="34"/>
        <v>0</v>
      </c>
      <c r="AR117" s="185">
        <f t="shared" si="35"/>
        <v>0</v>
      </c>
      <c r="AS117" s="185">
        <f t="shared" si="36"/>
        <v>0</v>
      </c>
      <c r="AT117" s="185">
        <f t="shared" si="37"/>
        <v>0</v>
      </c>
      <c r="AU117" s="185">
        <f t="shared" si="38"/>
        <v>0</v>
      </c>
      <c r="AV117" s="185">
        <f t="shared" si="39"/>
        <v>0</v>
      </c>
      <c r="AW117" s="185">
        <f t="shared" si="40"/>
        <v>0</v>
      </c>
      <c r="AX117" s="185">
        <f t="shared" si="41"/>
        <v>0</v>
      </c>
      <c r="AY117" s="185">
        <f t="shared" si="42"/>
        <v>0</v>
      </c>
      <c r="AZ117" s="185">
        <f t="shared" si="43"/>
        <v>0</v>
      </c>
      <c r="BA117" s="185">
        <f t="shared" si="44"/>
        <v>0</v>
      </c>
      <c r="BB117" s="185">
        <f t="shared" si="45"/>
        <v>0</v>
      </c>
      <c r="BC117" s="185">
        <f t="shared" si="46"/>
        <v>0</v>
      </c>
      <c r="BD117" s="185">
        <f t="shared" si="47"/>
        <v>0</v>
      </c>
      <c r="BE117" s="185">
        <f t="shared" si="48"/>
        <v>0</v>
      </c>
    </row>
    <row r="118" spans="1:57" s="90" customFormat="1" ht="15" hidden="1" customHeight="1" x14ac:dyDescent="0.25">
      <c r="A118" s="187" t="b">
        <v>1</v>
      </c>
      <c r="B118" s="188" t="b">
        <v>1</v>
      </c>
      <c r="C118" s="179" t="e">
        <f t="shared" si="28"/>
        <v>#N/A</v>
      </c>
      <c r="E118" s="180">
        <v>2089</v>
      </c>
      <c r="F118" s="100">
        <f t="shared" si="52"/>
        <v>106</v>
      </c>
      <c r="G118" s="181">
        <f t="shared" si="29"/>
        <v>-36</v>
      </c>
      <c r="H118" s="181" t="e">
        <f t="shared" si="49"/>
        <v>#N/A</v>
      </c>
      <c r="J118" s="182">
        <v>0</v>
      </c>
      <c r="K118" s="101"/>
      <c r="L118" s="183" t="e">
        <f t="shared" si="50"/>
        <v>#N/A</v>
      </c>
      <c r="M118" s="184"/>
      <c r="N118" s="91"/>
      <c r="O118" s="91"/>
      <c r="P118" s="90">
        <v>0</v>
      </c>
      <c r="Q118" s="87">
        <v>1</v>
      </c>
      <c r="R118" s="185">
        <v>0</v>
      </c>
      <c r="S118" s="185">
        <v>0</v>
      </c>
      <c r="T118" s="185">
        <v>0</v>
      </c>
      <c r="U118" s="185">
        <v>0</v>
      </c>
      <c r="V118" s="182">
        <v>0</v>
      </c>
      <c r="W118" s="182">
        <v>0</v>
      </c>
      <c r="X118" s="182">
        <v>0</v>
      </c>
      <c r="Y118" s="182">
        <v>0</v>
      </c>
      <c r="Z118" s="182">
        <v>0</v>
      </c>
      <c r="AA118" s="182">
        <v>0</v>
      </c>
      <c r="AB118" s="182">
        <v>0</v>
      </c>
      <c r="AC118" s="182">
        <v>0</v>
      </c>
      <c r="AD118" s="182">
        <v>0</v>
      </c>
      <c r="AE118" s="182">
        <v>0</v>
      </c>
      <c r="AF118" s="182">
        <v>0</v>
      </c>
      <c r="AG118" s="182">
        <v>0</v>
      </c>
      <c r="AH118" s="182">
        <v>0</v>
      </c>
      <c r="AI118" s="182">
        <v>0</v>
      </c>
      <c r="AJ118" s="182">
        <v>0</v>
      </c>
      <c r="AL118" s="185">
        <f t="shared" si="51"/>
        <v>1</v>
      </c>
      <c r="AM118" s="185">
        <f t="shared" si="30"/>
        <v>0</v>
      </c>
      <c r="AN118" s="185">
        <f t="shared" si="31"/>
        <v>0</v>
      </c>
      <c r="AO118" s="185">
        <f t="shared" si="32"/>
        <v>0</v>
      </c>
      <c r="AP118" s="185">
        <f t="shared" si="33"/>
        <v>0</v>
      </c>
      <c r="AQ118" s="185">
        <f t="shared" si="34"/>
        <v>0</v>
      </c>
      <c r="AR118" s="185">
        <f t="shared" si="35"/>
        <v>0</v>
      </c>
      <c r="AS118" s="185">
        <f t="shared" si="36"/>
        <v>0</v>
      </c>
      <c r="AT118" s="185">
        <f t="shared" si="37"/>
        <v>0</v>
      </c>
      <c r="AU118" s="185">
        <f t="shared" si="38"/>
        <v>0</v>
      </c>
      <c r="AV118" s="185">
        <f t="shared" si="39"/>
        <v>0</v>
      </c>
      <c r="AW118" s="185">
        <f t="shared" si="40"/>
        <v>0</v>
      </c>
      <c r="AX118" s="185">
        <f t="shared" si="41"/>
        <v>0</v>
      </c>
      <c r="AY118" s="185">
        <f t="shared" si="42"/>
        <v>0</v>
      </c>
      <c r="AZ118" s="185">
        <f t="shared" si="43"/>
        <v>0</v>
      </c>
      <c r="BA118" s="185">
        <f t="shared" si="44"/>
        <v>0</v>
      </c>
      <c r="BB118" s="185">
        <f t="shared" si="45"/>
        <v>0</v>
      </c>
      <c r="BC118" s="185">
        <f t="shared" si="46"/>
        <v>0</v>
      </c>
      <c r="BD118" s="185">
        <f t="shared" si="47"/>
        <v>0</v>
      </c>
      <c r="BE118" s="185">
        <f t="shared" si="48"/>
        <v>0</v>
      </c>
    </row>
    <row r="119" spans="1:57" s="90" customFormat="1" ht="15" hidden="1" customHeight="1" x14ac:dyDescent="0.25">
      <c r="A119" s="187" t="b">
        <v>1</v>
      </c>
      <c r="B119" s="188" t="b">
        <v>1</v>
      </c>
      <c r="C119" s="179" t="e">
        <f t="shared" si="28"/>
        <v>#N/A</v>
      </c>
      <c r="E119" s="180">
        <v>2090</v>
      </c>
      <c r="F119" s="100">
        <f t="shared" si="52"/>
        <v>107</v>
      </c>
      <c r="G119" s="181">
        <f t="shared" si="29"/>
        <v>-37</v>
      </c>
      <c r="H119" s="181" t="e">
        <f t="shared" si="49"/>
        <v>#N/A</v>
      </c>
      <c r="J119" s="182">
        <v>0</v>
      </c>
      <c r="K119" s="101"/>
      <c r="L119" s="183" t="e">
        <f t="shared" si="50"/>
        <v>#N/A</v>
      </c>
      <c r="M119" s="184"/>
      <c r="N119" s="91"/>
      <c r="O119" s="91"/>
      <c r="P119" s="90">
        <v>0</v>
      </c>
      <c r="Q119" s="87">
        <v>1</v>
      </c>
      <c r="R119" s="185">
        <v>0</v>
      </c>
      <c r="S119" s="185">
        <v>0</v>
      </c>
      <c r="T119" s="185">
        <v>0</v>
      </c>
      <c r="U119" s="185">
        <v>0</v>
      </c>
      <c r="V119" s="182">
        <v>0</v>
      </c>
      <c r="W119" s="182">
        <v>0</v>
      </c>
      <c r="X119" s="182">
        <v>0</v>
      </c>
      <c r="Y119" s="182">
        <v>0</v>
      </c>
      <c r="Z119" s="182">
        <v>0</v>
      </c>
      <c r="AA119" s="182">
        <v>0</v>
      </c>
      <c r="AB119" s="182">
        <v>0</v>
      </c>
      <c r="AC119" s="182">
        <v>0</v>
      </c>
      <c r="AD119" s="182">
        <v>0</v>
      </c>
      <c r="AE119" s="182">
        <v>0</v>
      </c>
      <c r="AF119" s="182">
        <v>0</v>
      </c>
      <c r="AG119" s="182">
        <v>0</v>
      </c>
      <c r="AH119" s="182">
        <v>0</v>
      </c>
      <c r="AI119" s="182">
        <v>0</v>
      </c>
      <c r="AJ119" s="182">
        <v>0</v>
      </c>
      <c r="AL119" s="185">
        <f t="shared" si="51"/>
        <v>1</v>
      </c>
      <c r="AM119" s="185">
        <f t="shared" si="30"/>
        <v>0</v>
      </c>
      <c r="AN119" s="185">
        <f t="shared" si="31"/>
        <v>0</v>
      </c>
      <c r="AO119" s="185">
        <f t="shared" si="32"/>
        <v>0</v>
      </c>
      <c r="AP119" s="185">
        <f t="shared" si="33"/>
        <v>0</v>
      </c>
      <c r="AQ119" s="185">
        <f t="shared" si="34"/>
        <v>0</v>
      </c>
      <c r="AR119" s="185">
        <f t="shared" si="35"/>
        <v>0</v>
      </c>
      <c r="AS119" s="185">
        <f t="shared" si="36"/>
        <v>0</v>
      </c>
      <c r="AT119" s="185">
        <f t="shared" si="37"/>
        <v>0</v>
      </c>
      <c r="AU119" s="185">
        <f t="shared" si="38"/>
        <v>0</v>
      </c>
      <c r="AV119" s="185">
        <f t="shared" si="39"/>
        <v>0</v>
      </c>
      <c r="AW119" s="185">
        <f t="shared" si="40"/>
        <v>0</v>
      </c>
      <c r="AX119" s="185">
        <f t="shared" si="41"/>
        <v>0</v>
      </c>
      <c r="AY119" s="185">
        <f t="shared" si="42"/>
        <v>0</v>
      </c>
      <c r="AZ119" s="185">
        <f t="shared" si="43"/>
        <v>0</v>
      </c>
      <c r="BA119" s="185">
        <f t="shared" si="44"/>
        <v>0</v>
      </c>
      <c r="BB119" s="185">
        <f t="shared" si="45"/>
        <v>0</v>
      </c>
      <c r="BC119" s="185">
        <f t="shared" si="46"/>
        <v>0</v>
      </c>
      <c r="BD119" s="185">
        <f t="shared" si="47"/>
        <v>0</v>
      </c>
      <c r="BE119" s="185">
        <f t="shared" si="48"/>
        <v>0</v>
      </c>
    </row>
    <row r="120" spans="1:57" s="90" customFormat="1" ht="15" hidden="1" customHeight="1" x14ac:dyDescent="0.25">
      <c r="A120" s="187" t="b">
        <v>1</v>
      </c>
      <c r="B120" s="188" t="b">
        <v>1</v>
      </c>
      <c r="C120" s="179" t="e">
        <f t="shared" si="28"/>
        <v>#N/A</v>
      </c>
      <c r="E120" s="180">
        <v>2091</v>
      </c>
      <c r="F120" s="100">
        <f t="shared" si="52"/>
        <v>108</v>
      </c>
      <c r="G120" s="181">
        <f t="shared" si="29"/>
        <v>-38</v>
      </c>
      <c r="H120" s="181" t="e">
        <f t="shared" si="49"/>
        <v>#N/A</v>
      </c>
      <c r="J120" s="182">
        <v>0</v>
      </c>
      <c r="K120" s="101"/>
      <c r="L120" s="183" t="e">
        <f t="shared" si="50"/>
        <v>#N/A</v>
      </c>
      <c r="M120" s="184"/>
      <c r="N120" s="91"/>
      <c r="O120" s="91"/>
      <c r="P120" s="90">
        <v>0</v>
      </c>
      <c r="Q120" s="87">
        <v>1</v>
      </c>
      <c r="R120" s="185">
        <v>0</v>
      </c>
      <c r="S120" s="185">
        <v>0</v>
      </c>
      <c r="T120" s="185">
        <v>0</v>
      </c>
      <c r="U120" s="185">
        <v>0</v>
      </c>
      <c r="V120" s="182">
        <v>0</v>
      </c>
      <c r="W120" s="182">
        <v>0</v>
      </c>
      <c r="X120" s="182">
        <v>0</v>
      </c>
      <c r="Y120" s="182">
        <v>0</v>
      </c>
      <c r="Z120" s="182">
        <v>0</v>
      </c>
      <c r="AA120" s="182">
        <v>0</v>
      </c>
      <c r="AB120" s="182">
        <v>0</v>
      </c>
      <c r="AC120" s="182">
        <v>0</v>
      </c>
      <c r="AD120" s="182">
        <v>0</v>
      </c>
      <c r="AE120" s="182">
        <v>0</v>
      </c>
      <c r="AF120" s="182">
        <v>0</v>
      </c>
      <c r="AG120" s="182">
        <v>0</v>
      </c>
      <c r="AH120" s="182">
        <v>0</v>
      </c>
      <c r="AI120" s="182">
        <v>0</v>
      </c>
      <c r="AJ120" s="182">
        <v>0</v>
      </c>
      <c r="AL120" s="185">
        <f t="shared" si="51"/>
        <v>1</v>
      </c>
      <c r="AM120" s="185">
        <f t="shared" si="30"/>
        <v>0</v>
      </c>
      <c r="AN120" s="185">
        <f t="shared" si="31"/>
        <v>0</v>
      </c>
      <c r="AO120" s="185">
        <f t="shared" si="32"/>
        <v>0</v>
      </c>
      <c r="AP120" s="185">
        <f t="shared" si="33"/>
        <v>0</v>
      </c>
      <c r="AQ120" s="185">
        <f t="shared" si="34"/>
        <v>0</v>
      </c>
      <c r="AR120" s="185">
        <f t="shared" si="35"/>
        <v>0</v>
      </c>
      <c r="AS120" s="185">
        <f t="shared" si="36"/>
        <v>0</v>
      </c>
      <c r="AT120" s="185">
        <f t="shared" si="37"/>
        <v>0</v>
      </c>
      <c r="AU120" s="185">
        <f t="shared" si="38"/>
        <v>0</v>
      </c>
      <c r="AV120" s="185">
        <f t="shared" si="39"/>
        <v>0</v>
      </c>
      <c r="AW120" s="185">
        <f t="shared" si="40"/>
        <v>0</v>
      </c>
      <c r="AX120" s="185">
        <f t="shared" si="41"/>
        <v>0</v>
      </c>
      <c r="AY120" s="185">
        <f t="shared" si="42"/>
        <v>0</v>
      </c>
      <c r="AZ120" s="185">
        <f t="shared" si="43"/>
        <v>0</v>
      </c>
      <c r="BA120" s="185">
        <f t="shared" si="44"/>
        <v>0</v>
      </c>
      <c r="BB120" s="185">
        <f t="shared" si="45"/>
        <v>0</v>
      </c>
      <c r="BC120" s="185">
        <f t="shared" si="46"/>
        <v>0</v>
      </c>
      <c r="BD120" s="185">
        <f t="shared" si="47"/>
        <v>0</v>
      </c>
      <c r="BE120" s="185">
        <f t="shared" si="48"/>
        <v>0</v>
      </c>
    </row>
    <row r="121" spans="1:57" s="90" customFormat="1" ht="15" hidden="1" customHeight="1" x14ac:dyDescent="0.25">
      <c r="A121" s="187" t="b">
        <v>1</v>
      </c>
      <c r="B121" s="188" t="b">
        <v>1</v>
      </c>
      <c r="C121" s="179" t="e">
        <f t="shared" si="28"/>
        <v>#N/A</v>
      </c>
      <c r="E121" s="180">
        <v>2092</v>
      </c>
      <c r="F121" s="100">
        <f t="shared" si="52"/>
        <v>109</v>
      </c>
      <c r="G121" s="181">
        <f t="shared" si="29"/>
        <v>-39</v>
      </c>
      <c r="H121" s="181" t="e">
        <f t="shared" si="49"/>
        <v>#N/A</v>
      </c>
      <c r="J121" s="182">
        <v>0</v>
      </c>
      <c r="K121" s="101"/>
      <c r="L121" s="183" t="e">
        <f t="shared" si="50"/>
        <v>#N/A</v>
      </c>
      <c r="M121" s="184"/>
      <c r="N121" s="91"/>
      <c r="O121" s="91"/>
      <c r="P121" s="90">
        <v>0</v>
      </c>
      <c r="Q121" s="87">
        <v>1</v>
      </c>
      <c r="R121" s="185">
        <v>0</v>
      </c>
      <c r="S121" s="185">
        <v>0</v>
      </c>
      <c r="T121" s="185">
        <v>0</v>
      </c>
      <c r="U121" s="185">
        <v>0</v>
      </c>
      <c r="V121" s="182">
        <v>0</v>
      </c>
      <c r="W121" s="182">
        <v>0</v>
      </c>
      <c r="X121" s="182">
        <v>0</v>
      </c>
      <c r="Y121" s="182">
        <v>0</v>
      </c>
      <c r="Z121" s="182">
        <v>0</v>
      </c>
      <c r="AA121" s="182">
        <v>0</v>
      </c>
      <c r="AB121" s="182">
        <v>0</v>
      </c>
      <c r="AC121" s="182">
        <v>0</v>
      </c>
      <c r="AD121" s="182">
        <v>0</v>
      </c>
      <c r="AE121" s="182">
        <v>0</v>
      </c>
      <c r="AF121" s="182">
        <v>0</v>
      </c>
      <c r="AG121" s="182">
        <v>0</v>
      </c>
      <c r="AH121" s="182">
        <v>0</v>
      </c>
      <c r="AI121" s="182">
        <v>0</v>
      </c>
      <c r="AJ121" s="182">
        <v>0</v>
      </c>
      <c r="AL121" s="185">
        <f t="shared" si="51"/>
        <v>1</v>
      </c>
      <c r="AM121" s="185">
        <f t="shared" si="30"/>
        <v>0</v>
      </c>
      <c r="AN121" s="185">
        <f t="shared" si="31"/>
        <v>0</v>
      </c>
      <c r="AO121" s="185">
        <f t="shared" si="32"/>
        <v>0</v>
      </c>
      <c r="AP121" s="185">
        <f t="shared" si="33"/>
        <v>0</v>
      </c>
      <c r="AQ121" s="185">
        <f t="shared" si="34"/>
        <v>0</v>
      </c>
      <c r="AR121" s="185">
        <f t="shared" si="35"/>
        <v>0</v>
      </c>
      <c r="AS121" s="185">
        <f t="shared" si="36"/>
        <v>0</v>
      </c>
      <c r="AT121" s="185">
        <f t="shared" si="37"/>
        <v>0</v>
      </c>
      <c r="AU121" s="185">
        <f t="shared" si="38"/>
        <v>0</v>
      </c>
      <c r="AV121" s="185">
        <f t="shared" si="39"/>
        <v>0</v>
      </c>
      <c r="AW121" s="185">
        <f t="shared" si="40"/>
        <v>0</v>
      </c>
      <c r="AX121" s="185">
        <f t="shared" si="41"/>
        <v>0</v>
      </c>
      <c r="AY121" s="185">
        <f t="shared" si="42"/>
        <v>0</v>
      </c>
      <c r="AZ121" s="185">
        <f t="shared" si="43"/>
        <v>0</v>
      </c>
      <c r="BA121" s="185">
        <f t="shared" si="44"/>
        <v>0</v>
      </c>
      <c r="BB121" s="185">
        <f t="shared" si="45"/>
        <v>0</v>
      </c>
      <c r="BC121" s="185">
        <f t="shared" si="46"/>
        <v>0</v>
      </c>
      <c r="BD121" s="185">
        <f t="shared" si="47"/>
        <v>0</v>
      </c>
      <c r="BE121" s="185">
        <f t="shared" si="48"/>
        <v>0</v>
      </c>
    </row>
    <row r="122" spans="1:57" s="90" customFormat="1" ht="15" hidden="1" customHeight="1" x14ac:dyDescent="0.25">
      <c r="A122" s="187" t="b">
        <v>1</v>
      </c>
      <c r="B122" s="188" t="b">
        <v>1</v>
      </c>
      <c r="C122" s="179" t="e">
        <f t="shared" si="28"/>
        <v>#N/A</v>
      </c>
      <c r="E122" s="180">
        <v>2093</v>
      </c>
      <c r="F122" s="100">
        <f t="shared" si="52"/>
        <v>110</v>
      </c>
      <c r="G122" s="181">
        <f t="shared" si="29"/>
        <v>-40</v>
      </c>
      <c r="H122" s="181" t="e">
        <f t="shared" si="49"/>
        <v>#N/A</v>
      </c>
      <c r="J122" s="182">
        <v>0</v>
      </c>
      <c r="K122" s="101"/>
      <c r="L122" s="183" t="e">
        <f t="shared" si="50"/>
        <v>#N/A</v>
      </c>
      <c r="M122" s="184"/>
      <c r="N122" s="91"/>
      <c r="O122" s="91"/>
      <c r="P122" s="90">
        <v>0</v>
      </c>
      <c r="Q122" s="87">
        <v>1</v>
      </c>
      <c r="R122" s="185">
        <v>0</v>
      </c>
      <c r="S122" s="185">
        <v>0</v>
      </c>
      <c r="T122" s="185">
        <v>0</v>
      </c>
      <c r="U122" s="185">
        <v>0</v>
      </c>
      <c r="V122" s="182">
        <v>0</v>
      </c>
      <c r="W122" s="182">
        <v>0</v>
      </c>
      <c r="X122" s="182">
        <v>0</v>
      </c>
      <c r="Y122" s="182">
        <v>0</v>
      </c>
      <c r="Z122" s="182">
        <v>0</v>
      </c>
      <c r="AA122" s="182">
        <v>0</v>
      </c>
      <c r="AB122" s="182">
        <v>0</v>
      </c>
      <c r="AC122" s="182">
        <v>0</v>
      </c>
      <c r="AD122" s="182">
        <v>0</v>
      </c>
      <c r="AE122" s="182">
        <v>0</v>
      </c>
      <c r="AF122" s="182">
        <v>0</v>
      </c>
      <c r="AG122" s="182">
        <v>0</v>
      </c>
      <c r="AH122" s="182">
        <v>0</v>
      </c>
      <c r="AI122" s="182">
        <v>0</v>
      </c>
      <c r="AJ122" s="182">
        <v>0</v>
      </c>
      <c r="AL122" s="185">
        <f t="shared" si="51"/>
        <v>1</v>
      </c>
      <c r="AM122" s="185">
        <f t="shared" si="30"/>
        <v>0</v>
      </c>
      <c r="AN122" s="185">
        <f t="shared" si="31"/>
        <v>0</v>
      </c>
      <c r="AO122" s="185">
        <f t="shared" si="32"/>
        <v>0</v>
      </c>
      <c r="AP122" s="185">
        <f t="shared" si="33"/>
        <v>0</v>
      </c>
      <c r="AQ122" s="185">
        <f t="shared" si="34"/>
        <v>0</v>
      </c>
      <c r="AR122" s="185">
        <f t="shared" si="35"/>
        <v>0</v>
      </c>
      <c r="AS122" s="185">
        <f t="shared" si="36"/>
        <v>0</v>
      </c>
      <c r="AT122" s="185">
        <f t="shared" si="37"/>
        <v>0</v>
      </c>
      <c r="AU122" s="185">
        <f t="shared" si="38"/>
        <v>0</v>
      </c>
      <c r="AV122" s="185">
        <f t="shared" si="39"/>
        <v>0</v>
      </c>
      <c r="AW122" s="185">
        <f t="shared" si="40"/>
        <v>0</v>
      </c>
      <c r="AX122" s="185">
        <f t="shared" si="41"/>
        <v>0</v>
      </c>
      <c r="AY122" s="185">
        <f t="shared" si="42"/>
        <v>0</v>
      </c>
      <c r="AZ122" s="185">
        <f t="shared" si="43"/>
        <v>0</v>
      </c>
      <c r="BA122" s="185">
        <f t="shared" si="44"/>
        <v>0</v>
      </c>
      <c r="BB122" s="185">
        <f t="shared" si="45"/>
        <v>0</v>
      </c>
      <c r="BC122" s="185">
        <f t="shared" si="46"/>
        <v>0</v>
      </c>
      <c r="BD122" s="185">
        <f t="shared" si="47"/>
        <v>0</v>
      </c>
      <c r="BE122" s="185">
        <f t="shared" si="48"/>
        <v>0</v>
      </c>
    </row>
    <row r="123" spans="1:57" s="90" customFormat="1" ht="15" hidden="1" customHeight="1" x14ac:dyDescent="0.25">
      <c r="A123" s="187" t="b">
        <v>1</v>
      </c>
      <c r="B123" s="188" t="b">
        <v>1</v>
      </c>
      <c r="C123" s="179" t="e">
        <f t="shared" si="28"/>
        <v>#N/A</v>
      </c>
      <c r="E123" s="180">
        <v>2094</v>
      </c>
      <c r="F123" s="100">
        <f t="shared" si="52"/>
        <v>111</v>
      </c>
      <c r="G123" s="181">
        <f t="shared" si="29"/>
        <v>-41</v>
      </c>
      <c r="H123" s="181" t="e">
        <f t="shared" si="49"/>
        <v>#N/A</v>
      </c>
      <c r="J123" s="182">
        <v>0</v>
      </c>
      <c r="K123" s="101"/>
      <c r="L123" s="183" t="e">
        <f t="shared" si="50"/>
        <v>#N/A</v>
      </c>
      <c r="M123" s="184"/>
      <c r="N123" s="91"/>
      <c r="O123" s="91"/>
      <c r="P123" s="90">
        <v>0</v>
      </c>
      <c r="Q123" s="87">
        <v>1</v>
      </c>
      <c r="R123" s="185">
        <v>0</v>
      </c>
      <c r="S123" s="185">
        <v>0</v>
      </c>
      <c r="T123" s="185">
        <v>0</v>
      </c>
      <c r="U123" s="185">
        <v>0</v>
      </c>
      <c r="V123" s="182">
        <v>0</v>
      </c>
      <c r="W123" s="182">
        <v>0</v>
      </c>
      <c r="X123" s="182">
        <v>0</v>
      </c>
      <c r="Y123" s="182">
        <v>0</v>
      </c>
      <c r="Z123" s="182">
        <v>0</v>
      </c>
      <c r="AA123" s="182">
        <v>0</v>
      </c>
      <c r="AB123" s="182">
        <v>0</v>
      </c>
      <c r="AC123" s="182">
        <v>0</v>
      </c>
      <c r="AD123" s="182">
        <v>0</v>
      </c>
      <c r="AE123" s="182">
        <v>0</v>
      </c>
      <c r="AF123" s="182">
        <v>0</v>
      </c>
      <c r="AG123" s="182">
        <v>0</v>
      </c>
      <c r="AH123" s="182">
        <v>0</v>
      </c>
      <c r="AI123" s="182">
        <v>0</v>
      </c>
      <c r="AJ123" s="182">
        <v>0</v>
      </c>
      <c r="AL123" s="185">
        <f t="shared" si="51"/>
        <v>1</v>
      </c>
      <c r="AM123" s="185">
        <f t="shared" si="30"/>
        <v>0</v>
      </c>
      <c r="AN123" s="185">
        <f t="shared" si="31"/>
        <v>0</v>
      </c>
      <c r="AO123" s="185">
        <f t="shared" si="32"/>
        <v>0</v>
      </c>
      <c r="AP123" s="185">
        <f t="shared" si="33"/>
        <v>0</v>
      </c>
      <c r="AQ123" s="185">
        <f t="shared" si="34"/>
        <v>0</v>
      </c>
      <c r="AR123" s="185">
        <f t="shared" si="35"/>
        <v>0</v>
      </c>
      <c r="AS123" s="185">
        <f t="shared" si="36"/>
        <v>0</v>
      </c>
      <c r="AT123" s="185">
        <f t="shared" si="37"/>
        <v>0</v>
      </c>
      <c r="AU123" s="185">
        <f t="shared" si="38"/>
        <v>0</v>
      </c>
      <c r="AV123" s="185">
        <f t="shared" si="39"/>
        <v>0</v>
      </c>
      <c r="AW123" s="185">
        <f t="shared" si="40"/>
        <v>0</v>
      </c>
      <c r="AX123" s="185">
        <f t="shared" si="41"/>
        <v>0</v>
      </c>
      <c r="AY123" s="185">
        <f t="shared" si="42"/>
        <v>0</v>
      </c>
      <c r="AZ123" s="185">
        <f t="shared" si="43"/>
        <v>0</v>
      </c>
      <c r="BA123" s="185">
        <f t="shared" si="44"/>
        <v>0</v>
      </c>
      <c r="BB123" s="185">
        <f t="shared" si="45"/>
        <v>0</v>
      </c>
      <c r="BC123" s="185">
        <f t="shared" si="46"/>
        <v>0</v>
      </c>
      <c r="BD123" s="185">
        <f t="shared" si="47"/>
        <v>0</v>
      </c>
      <c r="BE123" s="185">
        <f t="shared" si="48"/>
        <v>0</v>
      </c>
    </row>
    <row r="124" spans="1:57" s="90" customFormat="1" ht="15" hidden="1" customHeight="1" x14ac:dyDescent="0.25">
      <c r="A124" s="187" t="b">
        <v>1</v>
      </c>
      <c r="B124" s="188" t="b">
        <v>1</v>
      </c>
      <c r="C124" s="179" t="e">
        <f t="shared" si="28"/>
        <v>#N/A</v>
      </c>
      <c r="E124" s="180">
        <v>2095</v>
      </c>
      <c r="F124" s="100">
        <f t="shared" si="52"/>
        <v>112</v>
      </c>
      <c r="G124" s="181">
        <f t="shared" si="29"/>
        <v>-42</v>
      </c>
      <c r="H124" s="181" t="e">
        <f t="shared" si="49"/>
        <v>#N/A</v>
      </c>
      <c r="J124" s="182">
        <v>0</v>
      </c>
      <c r="K124" s="101"/>
      <c r="L124" s="183" t="e">
        <f t="shared" si="50"/>
        <v>#N/A</v>
      </c>
      <c r="M124" s="184"/>
      <c r="N124" s="91"/>
      <c r="O124" s="91"/>
      <c r="P124" s="90">
        <v>0</v>
      </c>
      <c r="Q124" s="87">
        <v>1</v>
      </c>
      <c r="R124" s="185">
        <v>0</v>
      </c>
      <c r="S124" s="185">
        <v>0</v>
      </c>
      <c r="T124" s="185">
        <v>0</v>
      </c>
      <c r="U124" s="185">
        <v>0</v>
      </c>
      <c r="V124" s="182">
        <v>0</v>
      </c>
      <c r="W124" s="182">
        <v>0</v>
      </c>
      <c r="X124" s="182">
        <v>0</v>
      </c>
      <c r="Y124" s="182">
        <v>0</v>
      </c>
      <c r="Z124" s="182">
        <v>0</v>
      </c>
      <c r="AA124" s="182">
        <v>0</v>
      </c>
      <c r="AB124" s="182">
        <v>0</v>
      </c>
      <c r="AC124" s="182">
        <v>0</v>
      </c>
      <c r="AD124" s="182">
        <v>0</v>
      </c>
      <c r="AE124" s="182">
        <v>0</v>
      </c>
      <c r="AF124" s="182">
        <v>0</v>
      </c>
      <c r="AG124" s="182">
        <v>0</v>
      </c>
      <c r="AH124" s="182">
        <v>0</v>
      </c>
      <c r="AI124" s="182">
        <v>0</v>
      </c>
      <c r="AJ124" s="182">
        <v>0</v>
      </c>
      <c r="AL124" s="185">
        <f t="shared" si="51"/>
        <v>1</v>
      </c>
      <c r="AM124" s="185">
        <f t="shared" si="30"/>
        <v>0</v>
      </c>
      <c r="AN124" s="185">
        <f t="shared" si="31"/>
        <v>0</v>
      </c>
      <c r="AO124" s="185">
        <f t="shared" si="32"/>
        <v>0</v>
      </c>
      <c r="AP124" s="185">
        <f t="shared" si="33"/>
        <v>0</v>
      </c>
      <c r="AQ124" s="185">
        <f t="shared" si="34"/>
        <v>0</v>
      </c>
      <c r="AR124" s="185">
        <f t="shared" si="35"/>
        <v>0</v>
      </c>
      <c r="AS124" s="185">
        <f t="shared" si="36"/>
        <v>0</v>
      </c>
      <c r="AT124" s="185">
        <f t="shared" si="37"/>
        <v>0</v>
      </c>
      <c r="AU124" s="185">
        <f t="shared" si="38"/>
        <v>0</v>
      </c>
      <c r="AV124" s="185">
        <f t="shared" si="39"/>
        <v>0</v>
      </c>
      <c r="AW124" s="185">
        <f t="shared" si="40"/>
        <v>0</v>
      </c>
      <c r="AX124" s="185">
        <f t="shared" si="41"/>
        <v>0</v>
      </c>
      <c r="AY124" s="185">
        <f t="shared" si="42"/>
        <v>0</v>
      </c>
      <c r="AZ124" s="185">
        <f t="shared" si="43"/>
        <v>0</v>
      </c>
      <c r="BA124" s="185">
        <f t="shared" si="44"/>
        <v>0</v>
      </c>
      <c r="BB124" s="185">
        <f t="shared" si="45"/>
        <v>0</v>
      </c>
      <c r="BC124" s="185">
        <f t="shared" si="46"/>
        <v>0</v>
      </c>
      <c r="BD124" s="185">
        <f t="shared" si="47"/>
        <v>0</v>
      </c>
      <c r="BE124" s="185">
        <f t="shared" si="48"/>
        <v>0</v>
      </c>
    </row>
    <row r="125" spans="1:57" s="90" customFormat="1" ht="15" hidden="1" customHeight="1" x14ac:dyDescent="0.25">
      <c r="A125" s="187" t="b">
        <v>1</v>
      </c>
      <c r="B125" s="188" t="b">
        <v>1</v>
      </c>
      <c r="C125" s="179" t="e">
        <f t="shared" si="28"/>
        <v>#N/A</v>
      </c>
      <c r="E125" s="180">
        <v>2096</v>
      </c>
      <c r="F125" s="100">
        <f t="shared" si="52"/>
        <v>113</v>
      </c>
      <c r="G125" s="181">
        <f t="shared" si="29"/>
        <v>-43</v>
      </c>
      <c r="H125" s="181" t="e">
        <f t="shared" si="49"/>
        <v>#N/A</v>
      </c>
      <c r="J125" s="182">
        <v>0</v>
      </c>
      <c r="K125" s="101"/>
      <c r="L125" s="183" t="e">
        <f t="shared" si="50"/>
        <v>#N/A</v>
      </c>
      <c r="M125" s="184"/>
      <c r="N125" s="91"/>
      <c r="O125" s="91"/>
      <c r="P125" s="90">
        <v>0</v>
      </c>
      <c r="Q125" s="87">
        <v>1</v>
      </c>
      <c r="R125" s="185">
        <v>0</v>
      </c>
      <c r="S125" s="185">
        <v>0</v>
      </c>
      <c r="T125" s="185">
        <v>0</v>
      </c>
      <c r="U125" s="185">
        <v>0</v>
      </c>
      <c r="V125" s="182">
        <v>0</v>
      </c>
      <c r="W125" s="182">
        <v>0</v>
      </c>
      <c r="X125" s="182">
        <v>0</v>
      </c>
      <c r="Y125" s="182">
        <v>0</v>
      </c>
      <c r="Z125" s="182">
        <v>0</v>
      </c>
      <c r="AA125" s="182">
        <v>0</v>
      </c>
      <c r="AB125" s="182">
        <v>0</v>
      </c>
      <c r="AC125" s="182">
        <v>0</v>
      </c>
      <c r="AD125" s="182">
        <v>0</v>
      </c>
      <c r="AE125" s="182">
        <v>0</v>
      </c>
      <c r="AF125" s="182">
        <v>0</v>
      </c>
      <c r="AG125" s="182">
        <v>0</v>
      </c>
      <c r="AH125" s="182">
        <v>0</v>
      </c>
      <c r="AI125" s="182">
        <v>0</v>
      </c>
      <c r="AJ125" s="182">
        <v>0</v>
      </c>
      <c r="AL125" s="185">
        <f t="shared" si="51"/>
        <v>1</v>
      </c>
      <c r="AM125" s="185">
        <f t="shared" si="30"/>
        <v>0</v>
      </c>
      <c r="AN125" s="185">
        <f t="shared" si="31"/>
        <v>0</v>
      </c>
      <c r="AO125" s="185">
        <f t="shared" si="32"/>
        <v>0</v>
      </c>
      <c r="AP125" s="185">
        <f t="shared" si="33"/>
        <v>0</v>
      </c>
      <c r="AQ125" s="185">
        <f t="shared" si="34"/>
        <v>0</v>
      </c>
      <c r="AR125" s="185">
        <f t="shared" si="35"/>
        <v>0</v>
      </c>
      <c r="AS125" s="185">
        <f t="shared" si="36"/>
        <v>0</v>
      </c>
      <c r="AT125" s="185">
        <f t="shared" si="37"/>
        <v>0</v>
      </c>
      <c r="AU125" s="185">
        <f t="shared" si="38"/>
        <v>0</v>
      </c>
      <c r="AV125" s="185">
        <f t="shared" si="39"/>
        <v>0</v>
      </c>
      <c r="AW125" s="185">
        <f t="shared" si="40"/>
        <v>0</v>
      </c>
      <c r="AX125" s="185">
        <f t="shared" si="41"/>
        <v>0</v>
      </c>
      <c r="AY125" s="185">
        <f t="shared" si="42"/>
        <v>0</v>
      </c>
      <c r="AZ125" s="185">
        <f t="shared" si="43"/>
        <v>0</v>
      </c>
      <c r="BA125" s="185">
        <f t="shared" si="44"/>
        <v>0</v>
      </c>
      <c r="BB125" s="185">
        <f t="shared" si="45"/>
        <v>0</v>
      </c>
      <c r="BC125" s="185">
        <f t="shared" si="46"/>
        <v>0</v>
      </c>
      <c r="BD125" s="185">
        <f t="shared" si="47"/>
        <v>0</v>
      </c>
      <c r="BE125" s="185">
        <f t="shared" si="48"/>
        <v>0</v>
      </c>
    </row>
    <row r="126" spans="1:57" s="90" customFormat="1" ht="15" hidden="1" customHeight="1" x14ac:dyDescent="0.25">
      <c r="A126" s="187" t="b">
        <v>1</v>
      </c>
      <c r="B126" s="188" t="b">
        <v>1</v>
      </c>
      <c r="C126" s="179" t="e">
        <f t="shared" si="28"/>
        <v>#N/A</v>
      </c>
      <c r="E126" s="180">
        <v>2097</v>
      </c>
      <c r="F126" s="100">
        <f t="shared" si="52"/>
        <v>114</v>
      </c>
      <c r="G126" s="181">
        <f t="shared" si="29"/>
        <v>-44</v>
      </c>
      <c r="H126" s="181" t="e">
        <f t="shared" si="49"/>
        <v>#N/A</v>
      </c>
      <c r="J126" s="182">
        <v>0</v>
      </c>
      <c r="K126" s="101"/>
      <c r="L126" s="183" t="e">
        <f t="shared" si="50"/>
        <v>#N/A</v>
      </c>
      <c r="M126" s="184"/>
      <c r="N126" s="91"/>
      <c r="O126" s="91"/>
      <c r="P126" s="90">
        <v>0</v>
      </c>
      <c r="Q126" s="87">
        <v>1</v>
      </c>
      <c r="R126" s="185">
        <v>0</v>
      </c>
      <c r="S126" s="185">
        <v>0</v>
      </c>
      <c r="T126" s="185">
        <v>0</v>
      </c>
      <c r="U126" s="185">
        <v>0</v>
      </c>
      <c r="V126" s="182">
        <v>0</v>
      </c>
      <c r="W126" s="182">
        <v>0</v>
      </c>
      <c r="X126" s="182">
        <v>0</v>
      </c>
      <c r="Y126" s="182">
        <v>0</v>
      </c>
      <c r="Z126" s="182">
        <v>0</v>
      </c>
      <c r="AA126" s="182">
        <v>0</v>
      </c>
      <c r="AB126" s="182">
        <v>0</v>
      </c>
      <c r="AC126" s="182">
        <v>0</v>
      </c>
      <c r="AD126" s="182">
        <v>0</v>
      </c>
      <c r="AE126" s="182">
        <v>0</v>
      </c>
      <c r="AF126" s="182">
        <v>0</v>
      </c>
      <c r="AG126" s="182">
        <v>0</v>
      </c>
      <c r="AH126" s="182">
        <v>0</v>
      </c>
      <c r="AI126" s="182">
        <v>0</v>
      </c>
      <c r="AJ126" s="182">
        <v>0</v>
      </c>
      <c r="AL126" s="185">
        <f t="shared" si="51"/>
        <v>1</v>
      </c>
      <c r="AM126" s="185">
        <f t="shared" si="30"/>
        <v>0</v>
      </c>
      <c r="AN126" s="185">
        <f t="shared" si="31"/>
        <v>0</v>
      </c>
      <c r="AO126" s="185">
        <f t="shared" si="32"/>
        <v>0</v>
      </c>
      <c r="AP126" s="185">
        <f t="shared" si="33"/>
        <v>0</v>
      </c>
      <c r="AQ126" s="185">
        <f t="shared" si="34"/>
        <v>0</v>
      </c>
      <c r="AR126" s="185">
        <f t="shared" si="35"/>
        <v>0</v>
      </c>
      <c r="AS126" s="185">
        <f t="shared" si="36"/>
        <v>0</v>
      </c>
      <c r="AT126" s="185">
        <f t="shared" si="37"/>
        <v>0</v>
      </c>
      <c r="AU126" s="185">
        <f t="shared" si="38"/>
        <v>0</v>
      </c>
      <c r="AV126" s="185">
        <f t="shared" si="39"/>
        <v>0</v>
      </c>
      <c r="AW126" s="185">
        <f t="shared" si="40"/>
        <v>0</v>
      </c>
      <c r="AX126" s="185">
        <f t="shared" si="41"/>
        <v>0</v>
      </c>
      <c r="AY126" s="185">
        <f t="shared" si="42"/>
        <v>0</v>
      </c>
      <c r="AZ126" s="185">
        <f t="shared" si="43"/>
        <v>0</v>
      </c>
      <c r="BA126" s="185">
        <f t="shared" si="44"/>
        <v>0</v>
      </c>
      <c r="BB126" s="185">
        <f t="shared" si="45"/>
        <v>0</v>
      </c>
      <c r="BC126" s="185">
        <f t="shared" si="46"/>
        <v>0</v>
      </c>
      <c r="BD126" s="185">
        <f t="shared" si="47"/>
        <v>0</v>
      </c>
      <c r="BE126" s="185">
        <f t="shared" si="48"/>
        <v>0</v>
      </c>
    </row>
    <row r="127" spans="1:57" s="90" customFormat="1" ht="15" hidden="1" customHeight="1" x14ac:dyDescent="0.25">
      <c r="A127" s="187" t="b">
        <v>1</v>
      </c>
      <c r="B127" s="188" t="b">
        <v>1</v>
      </c>
      <c r="C127" s="179" t="e">
        <f t="shared" si="28"/>
        <v>#N/A</v>
      </c>
      <c r="E127" s="180">
        <v>2098</v>
      </c>
      <c r="F127" s="100">
        <f t="shared" si="52"/>
        <v>115</v>
      </c>
      <c r="G127" s="181">
        <f t="shared" si="29"/>
        <v>-45</v>
      </c>
      <c r="H127" s="181" t="e">
        <f t="shared" si="49"/>
        <v>#N/A</v>
      </c>
      <c r="J127" s="182">
        <v>0</v>
      </c>
      <c r="K127" s="101"/>
      <c r="L127" s="183" t="e">
        <f t="shared" si="50"/>
        <v>#N/A</v>
      </c>
      <c r="M127" s="184"/>
      <c r="N127" s="91"/>
      <c r="O127" s="91"/>
      <c r="P127" s="90">
        <v>0</v>
      </c>
      <c r="Q127" s="87">
        <v>1</v>
      </c>
      <c r="R127" s="185">
        <v>0</v>
      </c>
      <c r="S127" s="185">
        <v>0</v>
      </c>
      <c r="T127" s="185">
        <v>0</v>
      </c>
      <c r="U127" s="185">
        <v>0</v>
      </c>
      <c r="V127" s="182">
        <v>0</v>
      </c>
      <c r="W127" s="182">
        <v>0</v>
      </c>
      <c r="X127" s="182">
        <v>0</v>
      </c>
      <c r="Y127" s="182">
        <v>0</v>
      </c>
      <c r="Z127" s="182">
        <v>0</v>
      </c>
      <c r="AA127" s="182">
        <v>0</v>
      </c>
      <c r="AB127" s="182">
        <v>0</v>
      </c>
      <c r="AC127" s="182">
        <v>0</v>
      </c>
      <c r="AD127" s="182">
        <v>0</v>
      </c>
      <c r="AE127" s="182">
        <v>0</v>
      </c>
      <c r="AF127" s="182">
        <v>0</v>
      </c>
      <c r="AG127" s="182">
        <v>0</v>
      </c>
      <c r="AH127" s="182">
        <v>0</v>
      </c>
      <c r="AI127" s="182">
        <v>0</v>
      </c>
      <c r="AJ127" s="182">
        <v>0</v>
      </c>
      <c r="AL127" s="185">
        <f t="shared" si="51"/>
        <v>1</v>
      </c>
      <c r="AM127" s="185">
        <f t="shared" si="30"/>
        <v>0</v>
      </c>
      <c r="AN127" s="185">
        <f t="shared" si="31"/>
        <v>0</v>
      </c>
      <c r="AO127" s="185">
        <f t="shared" si="32"/>
        <v>0</v>
      </c>
      <c r="AP127" s="185">
        <f t="shared" si="33"/>
        <v>0</v>
      </c>
      <c r="AQ127" s="185">
        <f t="shared" si="34"/>
        <v>0</v>
      </c>
      <c r="AR127" s="185">
        <f t="shared" si="35"/>
        <v>0</v>
      </c>
      <c r="AS127" s="185">
        <f t="shared" si="36"/>
        <v>0</v>
      </c>
      <c r="AT127" s="185">
        <f t="shared" si="37"/>
        <v>0</v>
      </c>
      <c r="AU127" s="185">
        <f t="shared" si="38"/>
        <v>0</v>
      </c>
      <c r="AV127" s="185">
        <f t="shared" si="39"/>
        <v>0</v>
      </c>
      <c r="AW127" s="185">
        <f t="shared" si="40"/>
        <v>0</v>
      </c>
      <c r="AX127" s="185">
        <f t="shared" si="41"/>
        <v>0</v>
      </c>
      <c r="AY127" s="185">
        <f t="shared" si="42"/>
        <v>0</v>
      </c>
      <c r="AZ127" s="185">
        <f t="shared" si="43"/>
        <v>0</v>
      </c>
      <c r="BA127" s="185">
        <f t="shared" si="44"/>
        <v>0</v>
      </c>
      <c r="BB127" s="185">
        <f t="shared" si="45"/>
        <v>0</v>
      </c>
      <c r="BC127" s="185">
        <f t="shared" si="46"/>
        <v>0</v>
      </c>
      <c r="BD127" s="185">
        <f t="shared" si="47"/>
        <v>0</v>
      </c>
      <c r="BE127" s="185">
        <f t="shared" si="48"/>
        <v>0</v>
      </c>
    </row>
    <row r="128" spans="1:57" s="90" customFormat="1" ht="15" hidden="1" customHeight="1" x14ac:dyDescent="0.25">
      <c r="A128" s="187" t="b">
        <v>1</v>
      </c>
      <c r="B128" s="188" t="b">
        <v>1</v>
      </c>
      <c r="C128" s="179" t="e">
        <f t="shared" si="28"/>
        <v>#N/A</v>
      </c>
      <c r="E128" s="180">
        <v>2099</v>
      </c>
      <c r="F128" s="100">
        <f t="shared" si="52"/>
        <v>116</v>
      </c>
      <c r="G128" s="181">
        <f t="shared" si="29"/>
        <v>-46</v>
      </c>
      <c r="H128" s="181" t="e">
        <f t="shared" si="49"/>
        <v>#N/A</v>
      </c>
      <c r="J128" s="182">
        <v>0</v>
      </c>
      <c r="K128" s="101"/>
      <c r="L128" s="183" t="e">
        <f t="shared" si="50"/>
        <v>#N/A</v>
      </c>
      <c r="M128" s="184"/>
      <c r="N128" s="91"/>
      <c r="O128" s="91"/>
      <c r="P128" s="90">
        <v>0</v>
      </c>
      <c r="Q128" s="87">
        <v>1</v>
      </c>
      <c r="R128" s="185">
        <v>0</v>
      </c>
      <c r="S128" s="185">
        <v>0</v>
      </c>
      <c r="T128" s="185">
        <v>0</v>
      </c>
      <c r="U128" s="185">
        <v>0</v>
      </c>
      <c r="V128" s="182">
        <v>0</v>
      </c>
      <c r="W128" s="182">
        <v>0</v>
      </c>
      <c r="X128" s="182">
        <v>0</v>
      </c>
      <c r="Y128" s="182">
        <v>0</v>
      </c>
      <c r="Z128" s="182">
        <v>0</v>
      </c>
      <c r="AA128" s="182">
        <v>0</v>
      </c>
      <c r="AB128" s="182">
        <v>0</v>
      </c>
      <c r="AC128" s="182">
        <v>0</v>
      </c>
      <c r="AD128" s="182">
        <v>0</v>
      </c>
      <c r="AE128" s="182">
        <v>0</v>
      </c>
      <c r="AF128" s="182">
        <v>0</v>
      </c>
      <c r="AG128" s="182">
        <v>0</v>
      </c>
      <c r="AH128" s="182">
        <v>0</v>
      </c>
      <c r="AI128" s="182">
        <v>0</v>
      </c>
      <c r="AJ128" s="182">
        <v>0</v>
      </c>
      <c r="AL128" s="185">
        <f t="shared" si="51"/>
        <v>1</v>
      </c>
      <c r="AM128" s="185">
        <f t="shared" si="30"/>
        <v>0</v>
      </c>
      <c r="AN128" s="185">
        <f t="shared" si="31"/>
        <v>0</v>
      </c>
      <c r="AO128" s="185">
        <f t="shared" si="32"/>
        <v>0</v>
      </c>
      <c r="AP128" s="185">
        <f t="shared" si="33"/>
        <v>0</v>
      </c>
      <c r="AQ128" s="185">
        <f t="shared" si="34"/>
        <v>0</v>
      </c>
      <c r="AR128" s="185">
        <f t="shared" si="35"/>
        <v>0</v>
      </c>
      <c r="AS128" s="185">
        <f t="shared" si="36"/>
        <v>0</v>
      </c>
      <c r="AT128" s="185">
        <f t="shared" si="37"/>
        <v>0</v>
      </c>
      <c r="AU128" s="185">
        <f t="shared" si="38"/>
        <v>0</v>
      </c>
      <c r="AV128" s="185">
        <f t="shared" si="39"/>
        <v>0</v>
      </c>
      <c r="AW128" s="185">
        <f t="shared" si="40"/>
        <v>0</v>
      </c>
      <c r="AX128" s="185">
        <f t="shared" si="41"/>
        <v>0</v>
      </c>
      <c r="AY128" s="185">
        <f t="shared" si="42"/>
        <v>0</v>
      </c>
      <c r="AZ128" s="185">
        <f t="shared" si="43"/>
        <v>0</v>
      </c>
      <c r="BA128" s="185">
        <f t="shared" si="44"/>
        <v>0</v>
      </c>
      <c r="BB128" s="185">
        <f t="shared" si="45"/>
        <v>0</v>
      </c>
      <c r="BC128" s="185">
        <f t="shared" si="46"/>
        <v>0</v>
      </c>
      <c r="BD128" s="185">
        <f t="shared" si="47"/>
        <v>0</v>
      </c>
      <c r="BE128" s="185">
        <f t="shared" si="48"/>
        <v>0</v>
      </c>
    </row>
    <row r="129" spans="1:57" s="90" customFormat="1" ht="15" hidden="1" customHeight="1" x14ac:dyDescent="0.25">
      <c r="A129" s="187" t="b">
        <v>1</v>
      </c>
      <c r="B129" s="188" t="b">
        <v>1</v>
      </c>
      <c r="C129" s="179" t="e">
        <f t="shared" si="28"/>
        <v>#N/A</v>
      </c>
      <c r="E129" s="180">
        <v>2100</v>
      </c>
      <c r="F129" s="100">
        <f t="shared" si="52"/>
        <v>117</v>
      </c>
      <c r="G129" s="181">
        <f t="shared" si="29"/>
        <v>-47</v>
      </c>
      <c r="H129" s="181" t="e">
        <f t="shared" si="49"/>
        <v>#N/A</v>
      </c>
      <c r="J129" s="182">
        <v>0</v>
      </c>
      <c r="K129" s="101"/>
      <c r="L129" s="183" t="e">
        <f t="shared" si="50"/>
        <v>#N/A</v>
      </c>
      <c r="M129" s="184"/>
      <c r="N129" s="91"/>
      <c r="O129" s="91"/>
      <c r="P129" s="90">
        <v>0</v>
      </c>
      <c r="Q129" s="87">
        <v>1</v>
      </c>
      <c r="R129" s="185">
        <v>0</v>
      </c>
      <c r="S129" s="185">
        <v>0</v>
      </c>
      <c r="T129" s="185">
        <v>0</v>
      </c>
      <c r="U129" s="185">
        <v>0</v>
      </c>
      <c r="V129" s="182">
        <v>0</v>
      </c>
      <c r="W129" s="182">
        <v>0</v>
      </c>
      <c r="X129" s="182">
        <v>0</v>
      </c>
      <c r="Y129" s="182">
        <v>0</v>
      </c>
      <c r="Z129" s="182">
        <v>0</v>
      </c>
      <c r="AA129" s="182">
        <v>0</v>
      </c>
      <c r="AB129" s="182">
        <v>0</v>
      </c>
      <c r="AC129" s="182">
        <v>0</v>
      </c>
      <c r="AD129" s="182">
        <v>0</v>
      </c>
      <c r="AE129" s="182">
        <v>0</v>
      </c>
      <c r="AF129" s="182">
        <v>0</v>
      </c>
      <c r="AG129" s="182">
        <v>0</v>
      </c>
      <c r="AH129" s="182">
        <v>0</v>
      </c>
      <c r="AI129" s="182">
        <v>0</v>
      </c>
      <c r="AJ129" s="182">
        <v>0</v>
      </c>
      <c r="AL129" s="185">
        <f t="shared" si="51"/>
        <v>1</v>
      </c>
      <c r="AM129" s="185">
        <f t="shared" si="30"/>
        <v>0</v>
      </c>
      <c r="AN129" s="185">
        <f t="shared" si="31"/>
        <v>0</v>
      </c>
      <c r="AO129" s="185">
        <f t="shared" si="32"/>
        <v>0</v>
      </c>
      <c r="AP129" s="185">
        <f t="shared" si="33"/>
        <v>0</v>
      </c>
      <c r="AQ129" s="185">
        <f t="shared" si="34"/>
        <v>0</v>
      </c>
      <c r="AR129" s="185">
        <f t="shared" si="35"/>
        <v>0</v>
      </c>
      <c r="AS129" s="185">
        <f t="shared" si="36"/>
        <v>0</v>
      </c>
      <c r="AT129" s="185">
        <f t="shared" si="37"/>
        <v>0</v>
      </c>
      <c r="AU129" s="185">
        <f t="shared" si="38"/>
        <v>0</v>
      </c>
      <c r="AV129" s="185">
        <f t="shared" si="39"/>
        <v>0</v>
      </c>
      <c r="AW129" s="185">
        <f t="shared" si="40"/>
        <v>0</v>
      </c>
      <c r="AX129" s="185">
        <f t="shared" si="41"/>
        <v>0</v>
      </c>
      <c r="AY129" s="185">
        <f t="shared" si="42"/>
        <v>0</v>
      </c>
      <c r="AZ129" s="185">
        <f t="shared" si="43"/>
        <v>0</v>
      </c>
      <c r="BA129" s="185">
        <f t="shared" si="44"/>
        <v>0</v>
      </c>
      <c r="BB129" s="185">
        <f t="shared" si="45"/>
        <v>0</v>
      </c>
      <c r="BC129" s="185">
        <f t="shared" si="46"/>
        <v>0</v>
      </c>
      <c r="BD129" s="185">
        <f t="shared" si="47"/>
        <v>0</v>
      </c>
      <c r="BE129" s="185">
        <f t="shared" si="48"/>
        <v>0</v>
      </c>
    </row>
    <row r="130" spans="1:57" s="90" customFormat="1" ht="15" hidden="1" customHeight="1" x14ac:dyDescent="0.25">
      <c r="A130" s="187" t="b">
        <v>1</v>
      </c>
      <c r="B130" s="188" t="b">
        <v>1</v>
      </c>
      <c r="C130" s="179" t="e">
        <f t="shared" si="28"/>
        <v>#N/A</v>
      </c>
      <c r="E130" s="180">
        <v>2101</v>
      </c>
      <c r="F130" s="100">
        <f t="shared" si="52"/>
        <v>118</v>
      </c>
      <c r="G130" s="181">
        <f t="shared" si="29"/>
        <v>-48</v>
      </c>
      <c r="H130" s="181" t="e">
        <f t="shared" si="49"/>
        <v>#N/A</v>
      </c>
      <c r="J130" s="182">
        <v>0</v>
      </c>
      <c r="K130" s="101"/>
      <c r="L130" s="183" t="e">
        <f t="shared" si="50"/>
        <v>#N/A</v>
      </c>
      <c r="M130" s="184"/>
      <c r="N130" s="91"/>
      <c r="O130" s="91"/>
      <c r="P130" s="90">
        <v>0</v>
      </c>
      <c r="Q130" s="87">
        <v>1</v>
      </c>
      <c r="R130" s="185">
        <v>0</v>
      </c>
      <c r="S130" s="185">
        <v>0</v>
      </c>
      <c r="T130" s="185">
        <v>0</v>
      </c>
      <c r="U130" s="185">
        <v>0</v>
      </c>
      <c r="V130" s="182">
        <v>0</v>
      </c>
      <c r="W130" s="182">
        <v>0</v>
      </c>
      <c r="X130" s="182">
        <v>0</v>
      </c>
      <c r="Y130" s="182">
        <v>0</v>
      </c>
      <c r="Z130" s="182">
        <v>0</v>
      </c>
      <c r="AA130" s="182">
        <v>0</v>
      </c>
      <c r="AB130" s="182">
        <v>0</v>
      </c>
      <c r="AC130" s="182">
        <v>0</v>
      </c>
      <c r="AD130" s="182">
        <v>0</v>
      </c>
      <c r="AE130" s="182">
        <v>0</v>
      </c>
      <c r="AF130" s="182">
        <v>0</v>
      </c>
      <c r="AG130" s="182">
        <v>0</v>
      </c>
      <c r="AH130" s="182">
        <v>0</v>
      </c>
      <c r="AI130" s="182">
        <v>0</v>
      </c>
      <c r="AJ130" s="182">
        <v>0</v>
      </c>
      <c r="AL130" s="185">
        <f t="shared" si="51"/>
        <v>1</v>
      </c>
      <c r="AM130" s="185">
        <f t="shared" si="30"/>
        <v>0</v>
      </c>
      <c r="AN130" s="185">
        <f t="shared" si="31"/>
        <v>0</v>
      </c>
      <c r="AO130" s="185">
        <f t="shared" si="32"/>
        <v>0</v>
      </c>
      <c r="AP130" s="185">
        <f t="shared" si="33"/>
        <v>0</v>
      </c>
      <c r="AQ130" s="185">
        <f t="shared" si="34"/>
        <v>0</v>
      </c>
      <c r="AR130" s="185">
        <f t="shared" si="35"/>
        <v>0</v>
      </c>
      <c r="AS130" s="185">
        <f t="shared" si="36"/>
        <v>0</v>
      </c>
      <c r="AT130" s="185">
        <f t="shared" si="37"/>
        <v>0</v>
      </c>
      <c r="AU130" s="185">
        <f t="shared" si="38"/>
        <v>0</v>
      </c>
      <c r="AV130" s="185">
        <f t="shared" si="39"/>
        <v>0</v>
      </c>
      <c r="AW130" s="185">
        <f t="shared" si="40"/>
        <v>0</v>
      </c>
      <c r="AX130" s="185">
        <f t="shared" si="41"/>
        <v>0</v>
      </c>
      <c r="AY130" s="185">
        <f t="shared" si="42"/>
        <v>0</v>
      </c>
      <c r="AZ130" s="185">
        <f t="shared" si="43"/>
        <v>0</v>
      </c>
      <c r="BA130" s="185">
        <f t="shared" si="44"/>
        <v>0</v>
      </c>
      <c r="BB130" s="185">
        <f t="shared" si="45"/>
        <v>0</v>
      </c>
      <c r="BC130" s="185">
        <f t="shared" si="46"/>
        <v>0</v>
      </c>
      <c r="BD130" s="185">
        <f t="shared" si="47"/>
        <v>0</v>
      </c>
      <c r="BE130" s="185">
        <f t="shared" si="48"/>
        <v>0</v>
      </c>
    </row>
    <row r="131" spans="1:57" s="90" customFormat="1" ht="15" hidden="1" customHeight="1" x14ac:dyDescent="0.25">
      <c r="A131" s="187" t="b">
        <v>1</v>
      </c>
      <c r="B131" s="188" t="b">
        <v>1</v>
      </c>
      <c r="C131" s="179" t="e">
        <f t="shared" si="28"/>
        <v>#N/A</v>
      </c>
      <c r="E131" s="180">
        <v>2102</v>
      </c>
      <c r="F131" s="100">
        <f t="shared" si="52"/>
        <v>119</v>
      </c>
      <c r="G131" s="181">
        <f t="shared" si="29"/>
        <v>-49</v>
      </c>
      <c r="H131" s="181" t="e">
        <f t="shared" si="49"/>
        <v>#N/A</v>
      </c>
      <c r="J131" s="182">
        <v>0</v>
      </c>
      <c r="K131" s="101"/>
      <c r="L131" s="183" t="e">
        <f t="shared" si="50"/>
        <v>#N/A</v>
      </c>
      <c r="M131" s="184"/>
      <c r="N131" s="91"/>
      <c r="O131" s="91"/>
      <c r="P131" s="90">
        <v>0</v>
      </c>
      <c r="Q131" s="87">
        <v>1</v>
      </c>
      <c r="R131" s="185">
        <v>0</v>
      </c>
      <c r="S131" s="185">
        <v>0</v>
      </c>
      <c r="T131" s="185">
        <v>0</v>
      </c>
      <c r="U131" s="185">
        <v>0</v>
      </c>
      <c r="V131" s="182">
        <v>0</v>
      </c>
      <c r="W131" s="182">
        <v>0</v>
      </c>
      <c r="X131" s="182">
        <v>0</v>
      </c>
      <c r="Y131" s="182">
        <v>0</v>
      </c>
      <c r="Z131" s="182">
        <v>0</v>
      </c>
      <c r="AA131" s="182">
        <v>0</v>
      </c>
      <c r="AB131" s="182">
        <v>0</v>
      </c>
      <c r="AC131" s="182">
        <v>0</v>
      </c>
      <c r="AD131" s="182">
        <v>0</v>
      </c>
      <c r="AE131" s="182">
        <v>0</v>
      </c>
      <c r="AF131" s="182">
        <v>0</v>
      </c>
      <c r="AG131" s="182">
        <v>0</v>
      </c>
      <c r="AH131" s="182">
        <v>0</v>
      </c>
      <c r="AI131" s="182">
        <v>0</v>
      </c>
      <c r="AJ131" s="182">
        <v>0</v>
      </c>
      <c r="AL131" s="185">
        <f t="shared" si="51"/>
        <v>1</v>
      </c>
      <c r="AM131" s="185">
        <f t="shared" si="30"/>
        <v>0</v>
      </c>
      <c r="AN131" s="185">
        <f t="shared" si="31"/>
        <v>0</v>
      </c>
      <c r="AO131" s="185">
        <f t="shared" si="32"/>
        <v>0</v>
      </c>
      <c r="AP131" s="185">
        <f t="shared" si="33"/>
        <v>0</v>
      </c>
      <c r="AQ131" s="185">
        <f t="shared" si="34"/>
        <v>0</v>
      </c>
      <c r="AR131" s="185">
        <f t="shared" si="35"/>
        <v>0</v>
      </c>
      <c r="AS131" s="185">
        <f t="shared" si="36"/>
        <v>0</v>
      </c>
      <c r="AT131" s="185">
        <f t="shared" si="37"/>
        <v>0</v>
      </c>
      <c r="AU131" s="185">
        <f t="shared" si="38"/>
        <v>0</v>
      </c>
      <c r="AV131" s="185">
        <f t="shared" si="39"/>
        <v>0</v>
      </c>
      <c r="AW131" s="185">
        <f t="shared" si="40"/>
        <v>0</v>
      </c>
      <c r="AX131" s="185">
        <f t="shared" si="41"/>
        <v>0</v>
      </c>
      <c r="AY131" s="185">
        <f t="shared" si="42"/>
        <v>0</v>
      </c>
      <c r="AZ131" s="185">
        <f t="shared" si="43"/>
        <v>0</v>
      </c>
      <c r="BA131" s="185">
        <f t="shared" si="44"/>
        <v>0</v>
      </c>
      <c r="BB131" s="185">
        <f t="shared" si="45"/>
        <v>0</v>
      </c>
      <c r="BC131" s="185">
        <f t="shared" si="46"/>
        <v>0</v>
      </c>
      <c r="BD131" s="185">
        <f t="shared" si="47"/>
        <v>0</v>
      </c>
      <c r="BE131" s="185">
        <f t="shared" si="48"/>
        <v>0</v>
      </c>
    </row>
    <row r="132" spans="1:57" s="90" customFormat="1" ht="15" hidden="1" customHeight="1" x14ac:dyDescent="0.25">
      <c r="A132" s="187" t="b">
        <v>1</v>
      </c>
      <c r="B132" s="188" t="b">
        <v>1</v>
      </c>
      <c r="C132" s="179" t="e">
        <f t="shared" si="28"/>
        <v>#N/A</v>
      </c>
      <c r="E132" s="180">
        <v>2103</v>
      </c>
      <c r="F132" s="100">
        <f t="shared" si="52"/>
        <v>120</v>
      </c>
      <c r="G132" s="181">
        <f t="shared" si="29"/>
        <v>-50</v>
      </c>
      <c r="H132" s="181" t="e">
        <f t="shared" si="49"/>
        <v>#N/A</v>
      </c>
      <c r="J132" s="182">
        <v>0</v>
      </c>
      <c r="K132" s="101"/>
      <c r="L132" s="183" t="e">
        <f t="shared" si="50"/>
        <v>#N/A</v>
      </c>
      <c r="M132" s="184"/>
      <c r="N132" s="91"/>
      <c r="O132" s="91"/>
      <c r="P132" s="90">
        <v>0</v>
      </c>
      <c r="Q132" s="87">
        <v>1</v>
      </c>
      <c r="R132" s="185">
        <v>0</v>
      </c>
      <c r="S132" s="185">
        <v>0</v>
      </c>
      <c r="T132" s="185">
        <v>0</v>
      </c>
      <c r="U132" s="185">
        <v>0</v>
      </c>
      <c r="V132" s="182">
        <v>0</v>
      </c>
      <c r="W132" s="182">
        <v>0</v>
      </c>
      <c r="X132" s="182">
        <v>0</v>
      </c>
      <c r="Y132" s="182">
        <v>0</v>
      </c>
      <c r="Z132" s="182">
        <v>0</v>
      </c>
      <c r="AA132" s="182">
        <v>0</v>
      </c>
      <c r="AB132" s="182">
        <v>0</v>
      </c>
      <c r="AC132" s="182">
        <v>0</v>
      </c>
      <c r="AD132" s="182">
        <v>0</v>
      </c>
      <c r="AE132" s="182">
        <v>0</v>
      </c>
      <c r="AF132" s="182">
        <v>0</v>
      </c>
      <c r="AG132" s="182">
        <v>0</v>
      </c>
      <c r="AH132" s="182">
        <v>0</v>
      </c>
      <c r="AI132" s="182">
        <v>0</v>
      </c>
      <c r="AJ132" s="182">
        <v>0</v>
      </c>
      <c r="AL132" s="185">
        <f t="shared" si="51"/>
        <v>1</v>
      </c>
      <c r="AM132" s="185">
        <f t="shared" si="30"/>
        <v>0</v>
      </c>
      <c r="AN132" s="185">
        <f t="shared" si="31"/>
        <v>0</v>
      </c>
      <c r="AO132" s="185">
        <f t="shared" si="32"/>
        <v>0</v>
      </c>
      <c r="AP132" s="185">
        <f t="shared" si="33"/>
        <v>0</v>
      </c>
      <c r="AQ132" s="185">
        <f t="shared" si="34"/>
        <v>0</v>
      </c>
      <c r="AR132" s="185">
        <f t="shared" si="35"/>
        <v>0</v>
      </c>
      <c r="AS132" s="185">
        <f t="shared" si="36"/>
        <v>0</v>
      </c>
      <c r="AT132" s="185">
        <f t="shared" si="37"/>
        <v>0</v>
      </c>
      <c r="AU132" s="185">
        <f t="shared" si="38"/>
        <v>0</v>
      </c>
      <c r="AV132" s="185">
        <f t="shared" si="39"/>
        <v>0</v>
      </c>
      <c r="AW132" s="185">
        <f t="shared" si="40"/>
        <v>0</v>
      </c>
      <c r="AX132" s="185">
        <f t="shared" si="41"/>
        <v>0</v>
      </c>
      <c r="AY132" s="185">
        <f t="shared" si="42"/>
        <v>0</v>
      </c>
      <c r="AZ132" s="185">
        <f t="shared" si="43"/>
        <v>0</v>
      </c>
      <c r="BA132" s="185">
        <f t="shared" si="44"/>
        <v>0</v>
      </c>
      <c r="BB132" s="185">
        <f t="shared" si="45"/>
        <v>0</v>
      </c>
      <c r="BC132" s="185">
        <f t="shared" si="46"/>
        <v>0</v>
      </c>
      <c r="BD132" s="185">
        <f t="shared" si="47"/>
        <v>0</v>
      </c>
      <c r="BE132" s="185">
        <f t="shared" si="48"/>
        <v>0</v>
      </c>
    </row>
    <row r="133" spans="1:57" s="90" customFormat="1" ht="15" hidden="1" customHeight="1" x14ac:dyDescent="0.25">
      <c r="A133" s="187" t="b">
        <v>1</v>
      </c>
      <c r="B133" s="188" t="b">
        <v>1</v>
      </c>
      <c r="C133" s="179" t="e">
        <f t="shared" si="28"/>
        <v>#N/A</v>
      </c>
      <c r="E133" s="180">
        <v>2104</v>
      </c>
      <c r="F133" s="100">
        <f t="shared" si="52"/>
        <v>121</v>
      </c>
      <c r="G133" s="181">
        <f t="shared" si="29"/>
        <v>-51</v>
      </c>
      <c r="H133" s="181" t="e">
        <f t="shared" si="49"/>
        <v>#N/A</v>
      </c>
      <c r="J133" s="182">
        <v>0</v>
      </c>
      <c r="K133" s="101"/>
      <c r="L133" s="183" t="e">
        <f t="shared" si="50"/>
        <v>#N/A</v>
      </c>
      <c r="M133" s="184"/>
      <c r="N133" s="91"/>
      <c r="O133" s="91"/>
      <c r="P133" s="90">
        <v>0</v>
      </c>
      <c r="Q133" s="87">
        <v>1</v>
      </c>
      <c r="R133" s="185">
        <v>0</v>
      </c>
      <c r="S133" s="185">
        <v>0</v>
      </c>
      <c r="T133" s="185">
        <v>0</v>
      </c>
      <c r="U133" s="185">
        <v>0</v>
      </c>
      <c r="V133" s="182">
        <v>0</v>
      </c>
      <c r="W133" s="182">
        <v>0</v>
      </c>
      <c r="X133" s="182">
        <v>0</v>
      </c>
      <c r="Y133" s="182">
        <v>0</v>
      </c>
      <c r="Z133" s="182">
        <v>0</v>
      </c>
      <c r="AA133" s="182">
        <v>0</v>
      </c>
      <c r="AB133" s="182">
        <v>0</v>
      </c>
      <c r="AC133" s="182">
        <v>0</v>
      </c>
      <c r="AD133" s="182">
        <v>0</v>
      </c>
      <c r="AE133" s="182">
        <v>0</v>
      </c>
      <c r="AF133" s="182">
        <v>0</v>
      </c>
      <c r="AG133" s="182">
        <v>0</v>
      </c>
      <c r="AH133" s="182">
        <v>0</v>
      </c>
      <c r="AI133" s="182">
        <v>0</v>
      </c>
      <c r="AJ133" s="182">
        <v>0</v>
      </c>
      <c r="AL133" s="185">
        <f t="shared" si="51"/>
        <v>1</v>
      </c>
      <c r="AM133" s="185">
        <f t="shared" si="30"/>
        <v>0</v>
      </c>
      <c r="AN133" s="185">
        <f t="shared" si="31"/>
        <v>0</v>
      </c>
      <c r="AO133" s="185">
        <f t="shared" si="32"/>
        <v>0</v>
      </c>
      <c r="AP133" s="185">
        <f t="shared" si="33"/>
        <v>0</v>
      </c>
      <c r="AQ133" s="185">
        <f t="shared" si="34"/>
        <v>0</v>
      </c>
      <c r="AR133" s="185">
        <f t="shared" si="35"/>
        <v>0</v>
      </c>
      <c r="AS133" s="185">
        <f t="shared" si="36"/>
        <v>0</v>
      </c>
      <c r="AT133" s="185">
        <f t="shared" si="37"/>
        <v>0</v>
      </c>
      <c r="AU133" s="185">
        <f t="shared" si="38"/>
        <v>0</v>
      </c>
      <c r="AV133" s="185">
        <f t="shared" si="39"/>
        <v>0</v>
      </c>
      <c r="AW133" s="185">
        <f t="shared" si="40"/>
        <v>0</v>
      </c>
      <c r="AX133" s="185">
        <f t="shared" si="41"/>
        <v>0</v>
      </c>
      <c r="AY133" s="185">
        <f t="shared" si="42"/>
        <v>0</v>
      </c>
      <c r="AZ133" s="185">
        <f t="shared" si="43"/>
        <v>0</v>
      </c>
      <c r="BA133" s="185">
        <f t="shared" si="44"/>
        <v>0</v>
      </c>
      <c r="BB133" s="185">
        <f t="shared" si="45"/>
        <v>0</v>
      </c>
      <c r="BC133" s="185">
        <f t="shared" si="46"/>
        <v>0</v>
      </c>
      <c r="BD133" s="185">
        <f t="shared" si="47"/>
        <v>0</v>
      </c>
      <c r="BE133" s="185">
        <f t="shared" si="48"/>
        <v>0</v>
      </c>
    </row>
    <row r="134" spans="1:57" s="90" customFormat="1" ht="15" hidden="1" customHeight="1" x14ac:dyDescent="0.25">
      <c r="A134" s="187" t="b">
        <v>1</v>
      </c>
      <c r="B134" s="188" t="b">
        <v>1</v>
      </c>
      <c r="C134" s="179" t="e">
        <f t="shared" si="28"/>
        <v>#N/A</v>
      </c>
      <c r="E134" s="180">
        <v>2105</v>
      </c>
      <c r="F134" s="100">
        <f t="shared" si="52"/>
        <v>122</v>
      </c>
      <c r="G134" s="181">
        <f t="shared" si="29"/>
        <v>-52</v>
      </c>
      <c r="H134" s="181" t="e">
        <f t="shared" si="49"/>
        <v>#N/A</v>
      </c>
      <c r="J134" s="182">
        <v>0</v>
      </c>
      <c r="K134" s="101"/>
      <c r="L134" s="183" t="e">
        <f t="shared" si="50"/>
        <v>#N/A</v>
      </c>
      <c r="M134" s="184"/>
      <c r="N134" s="91"/>
      <c r="O134" s="91"/>
      <c r="P134" s="90">
        <v>0</v>
      </c>
      <c r="Q134" s="87">
        <v>1</v>
      </c>
      <c r="R134" s="185">
        <v>0</v>
      </c>
      <c r="S134" s="185">
        <v>0</v>
      </c>
      <c r="T134" s="185">
        <v>0</v>
      </c>
      <c r="U134" s="185">
        <v>0</v>
      </c>
      <c r="V134" s="182">
        <v>0</v>
      </c>
      <c r="W134" s="182">
        <v>0</v>
      </c>
      <c r="X134" s="182">
        <v>0</v>
      </c>
      <c r="Y134" s="182">
        <v>0</v>
      </c>
      <c r="Z134" s="182">
        <v>0</v>
      </c>
      <c r="AA134" s="182">
        <v>0</v>
      </c>
      <c r="AB134" s="182">
        <v>0</v>
      </c>
      <c r="AC134" s="182">
        <v>0</v>
      </c>
      <c r="AD134" s="182">
        <v>0</v>
      </c>
      <c r="AE134" s="182">
        <v>0</v>
      </c>
      <c r="AF134" s="182">
        <v>0</v>
      </c>
      <c r="AG134" s="182">
        <v>0</v>
      </c>
      <c r="AH134" s="182">
        <v>0</v>
      </c>
      <c r="AI134" s="182">
        <v>0</v>
      </c>
      <c r="AJ134" s="182">
        <v>0</v>
      </c>
      <c r="AL134" s="185">
        <f t="shared" si="51"/>
        <v>1</v>
      </c>
      <c r="AM134" s="185">
        <f t="shared" si="30"/>
        <v>0</v>
      </c>
      <c r="AN134" s="185">
        <f t="shared" si="31"/>
        <v>0</v>
      </c>
      <c r="AO134" s="185">
        <f t="shared" si="32"/>
        <v>0</v>
      </c>
      <c r="AP134" s="185">
        <f t="shared" si="33"/>
        <v>0</v>
      </c>
      <c r="AQ134" s="185">
        <f t="shared" si="34"/>
        <v>0</v>
      </c>
      <c r="AR134" s="185">
        <f t="shared" si="35"/>
        <v>0</v>
      </c>
      <c r="AS134" s="185">
        <f t="shared" si="36"/>
        <v>0</v>
      </c>
      <c r="AT134" s="185">
        <f t="shared" si="37"/>
        <v>0</v>
      </c>
      <c r="AU134" s="185">
        <f t="shared" si="38"/>
        <v>0</v>
      </c>
      <c r="AV134" s="185">
        <f t="shared" si="39"/>
        <v>0</v>
      </c>
      <c r="AW134" s="185">
        <f t="shared" si="40"/>
        <v>0</v>
      </c>
      <c r="AX134" s="185">
        <f t="shared" si="41"/>
        <v>0</v>
      </c>
      <c r="AY134" s="185">
        <f t="shared" si="42"/>
        <v>0</v>
      </c>
      <c r="AZ134" s="185">
        <f t="shared" si="43"/>
        <v>0</v>
      </c>
      <c r="BA134" s="185">
        <f t="shared" si="44"/>
        <v>0</v>
      </c>
      <c r="BB134" s="185">
        <f t="shared" si="45"/>
        <v>0</v>
      </c>
      <c r="BC134" s="185">
        <f t="shared" si="46"/>
        <v>0</v>
      </c>
      <c r="BD134" s="185">
        <f t="shared" si="47"/>
        <v>0</v>
      </c>
      <c r="BE134" s="185">
        <f t="shared" si="48"/>
        <v>0</v>
      </c>
    </row>
    <row r="135" spans="1:57" s="90" customFormat="1" ht="15" hidden="1" customHeight="1" x14ac:dyDescent="0.25">
      <c r="A135" s="187" t="b">
        <v>1</v>
      </c>
      <c r="B135" s="188" t="b">
        <v>1</v>
      </c>
      <c r="C135" s="179" t="e">
        <f t="shared" si="28"/>
        <v>#N/A</v>
      </c>
      <c r="E135" s="180">
        <v>2106</v>
      </c>
      <c r="F135" s="100">
        <f t="shared" si="52"/>
        <v>123</v>
      </c>
      <c r="G135" s="181">
        <f t="shared" si="29"/>
        <v>-53</v>
      </c>
      <c r="H135" s="181" t="e">
        <f t="shared" si="49"/>
        <v>#N/A</v>
      </c>
      <c r="J135" s="182">
        <v>0</v>
      </c>
      <c r="K135" s="101"/>
      <c r="L135" s="183" t="e">
        <f t="shared" si="50"/>
        <v>#N/A</v>
      </c>
      <c r="M135" s="184"/>
      <c r="N135" s="91"/>
      <c r="O135" s="91"/>
      <c r="P135" s="90">
        <v>0</v>
      </c>
      <c r="Q135" s="87">
        <v>1</v>
      </c>
      <c r="R135" s="185">
        <v>0</v>
      </c>
      <c r="S135" s="185">
        <v>0</v>
      </c>
      <c r="T135" s="185">
        <v>0</v>
      </c>
      <c r="U135" s="185">
        <v>0</v>
      </c>
      <c r="V135" s="182">
        <v>0</v>
      </c>
      <c r="W135" s="182">
        <v>0</v>
      </c>
      <c r="X135" s="182">
        <v>0</v>
      </c>
      <c r="Y135" s="182">
        <v>0</v>
      </c>
      <c r="Z135" s="182">
        <v>0</v>
      </c>
      <c r="AA135" s="182">
        <v>0</v>
      </c>
      <c r="AB135" s="182">
        <v>0</v>
      </c>
      <c r="AC135" s="182">
        <v>0</v>
      </c>
      <c r="AD135" s="182">
        <v>0</v>
      </c>
      <c r="AE135" s="182">
        <v>0</v>
      </c>
      <c r="AF135" s="182">
        <v>0</v>
      </c>
      <c r="AG135" s="182">
        <v>0</v>
      </c>
      <c r="AH135" s="182">
        <v>0</v>
      </c>
      <c r="AI135" s="182">
        <v>0</v>
      </c>
      <c r="AJ135" s="182">
        <v>0</v>
      </c>
      <c r="AL135" s="185">
        <f t="shared" si="51"/>
        <v>1</v>
      </c>
      <c r="AM135" s="185">
        <f t="shared" si="30"/>
        <v>0</v>
      </c>
      <c r="AN135" s="185">
        <f t="shared" si="31"/>
        <v>0</v>
      </c>
      <c r="AO135" s="185">
        <f t="shared" si="32"/>
        <v>0</v>
      </c>
      <c r="AP135" s="185">
        <f t="shared" si="33"/>
        <v>0</v>
      </c>
      <c r="AQ135" s="185">
        <f t="shared" si="34"/>
        <v>0</v>
      </c>
      <c r="AR135" s="185">
        <f t="shared" si="35"/>
        <v>0</v>
      </c>
      <c r="AS135" s="185">
        <f t="shared" si="36"/>
        <v>0</v>
      </c>
      <c r="AT135" s="185">
        <f t="shared" si="37"/>
        <v>0</v>
      </c>
      <c r="AU135" s="185">
        <f t="shared" si="38"/>
        <v>0</v>
      </c>
      <c r="AV135" s="185">
        <f t="shared" si="39"/>
        <v>0</v>
      </c>
      <c r="AW135" s="185">
        <f t="shared" si="40"/>
        <v>0</v>
      </c>
      <c r="AX135" s="185">
        <f t="shared" si="41"/>
        <v>0</v>
      </c>
      <c r="AY135" s="185">
        <f t="shared" si="42"/>
        <v>0</v>
      </c>
      <c r="AZ135" s="185">
        <f t="shared" si="43"/>
        <v>0</v>
      </c>
      <c r="BA135" s="185">
        <f t="shared" si="44"/>
        <v>0</v>
      </c>
      <c r="BB135" s="185">
        <f t="shared" si="45"/>
        <v>0</v>
      </c>
      <c r="BC135" s="185">
        <f t="shared" si="46"/>
        <v>0</v>
      </c>
      <c r="BD135" s="185">
        <f t="shared" si="47"/>
        <v>0</v>
      </c>
      <c r="BE135" s="185">
        <f t="shared" si="48"/>
        <v>0</v>
      </c>
    </row>
    <row r="136" spans="1:57" s="90" customFormat="1" ht="15" hidden="1" customHeight="1" x14ac:dyDescent="0.25">
      <c r="A136" s="187" t="b">
        <v>1</v>
      </c>
      <c r="B136" s="188" t="b">
        <v>1</v>
      </c>
      <c r="C136" s="179" t="e">
        <f t="shared" si="28"/>
        <v>#N/A</v>
      </c>
      <c r="E136" s="180">
        <v>2107</v>
      </c>
      <c r="F136" s="100">
        <f t="shared" si="52"/>
        <v>124</v>
      </c>
      <c r="G136" s="181">
        <f t="shared" si="29"/>
        <v>-54</v>
      </c>
      <c r="H136" s="181" t="e">
        <f t="shared" si="49"/>
        <v>#N/A</v>
      </c>
      <c r="J136" s="182">
        <v>0</v>
      </c>
      <c r="K136" s="101"/>
      <c r="L136" s="183" t="e">
        <f t="shared" si="50"/>
        <v>#N/A</v>
      </c>
      <c r="M136" s="184"/>
      <c r="N136" s="91"/>
      <c r="O136" s="91"/>
      <c r="P136" s="90">
        <v>0</v>
      </c>
      <c r="Q136" s="87">
        <v>1</v>
      </c>
      <c r="R136" s="185">
        <v>0</v>
      </c>
      <c r="S136" s="185">
        <v>0</v>
      </c>
      <c r="T136" s="185">
        <v>0</v>
      </c>
      <c r="U136" s="185">
        <v>0</v>
      </c>
      <c r="V136" s="182">
        <v>0</v>
      </c>
      <c r="W136" s="182">
        <v>0</v>
      </c>
      <c r="X136" s="182">
        <v>0</v>
      </c>
      <c r="Y136" s="182">
        <v>0</v>
      </c>
      <c r="Z136" s="182">
        <v>0</v>
      </c>
      <c r="AA136" s="182">
        <v>0</v>
      </c>
      <c r="AB136" s="182">
        <v>0</v>
      </c>
      <c r="AC136" s="182">
        <v>0</v>
      </c>
      <c r="AD136" s="182">
        <v>0</v>
      </c>
      <c r="AE136" s="182">
        <v>0</v>
      </c>
      <c r="AF136" s="182">
        <v>0</v>
      </c>
      <c r="AG136" s="182">
        <v>0</v>
      </c>
      <c r="AH136" s="182">
        <v>0</v>
      </c>
      <c r="AI136" s="182">
        <v>0</v>
      </c>
      <c r="AJ136" s="182">
        <v>0</v>
      </c>
      <c r="AL136" s="185">
        <f t="shared" si="51"/>
        <v>1</v>
      </c>
      <c r="AM136" s="185">
        <f t="shared" si="30"/>
        <v>0</v>
      </c>
      <c r="AN136" s="185">
        <f t="shared" si="31"/>
        <v>0</v>
      </c>
      <c r="AO136" s="185">
        <f t="shared" si="32"/>
        <v>0</v>
      </c>
      <c r="AP136" s="185">
        <f t="shared" si="33"/>
        <v>0</v>
      </c>
      <c r="AQ136" s="185">
        <f t="shared" si="34"/>
        <v>0</v>
      </c>
      <c r="AR136" s="185">
        <f t="shared" si="35"/>
        <v>0</v>
      </c>
      <c r="AS136" s="185">
        <f t="shared" si="36"/>
        <v>0</v>
      </c>
      <c r="AT136" s="185">
        <f t="shared" si="37"/>
        <v>0</v>
      </c>
      <c r="AU136" s="185">
        <f t="shared" si="38"/>
        <v>0</v>
      </c>
      <c r="AV136" s="185">
        <f t="shared" si="39"/>
        <v>0</v>
      </c>
      <c r="AW136" s="185">
        <f t="shared" si="40"/>
        <v>0</v>
      </c>
      <c r="AX136" s="185">
        <f t="shared" si="41"/>
        <v>0</v>
      </c>
      <c r="AY136" s="185">
        <f t="shared" si="42"/>
        <v>0</v>
      </c>
      <c r="AZ136" s="185">
        <f t="shared" si="43"/>
        <v>0</v>
      </c>
      <c r="BA136" s="185">
        <f t="shared" si="44"/>
        <v>0</v>
      </c>
      <c r="BB136" s="185">
        <f t="shared" si="45"/>
        <v>0</v>
      </c>
      <c r="BC136" s="185">
        <f t="shared" si="46"/>
        <v>0</v>
      </c>
      <c r="BD136" s="185">
        <f t="shared" si="47"/>
        <v>0</v>
      </c>
      <c r="BE136" s="185">
        <f t="shared" si="48"/>
        <v>0</v>
      </c>
    </row>
    <row r="137" spans="1:57" s="90" customFormat="1" ht="15" hidden="1" customHeight="1" x14ac:dyDescent="0.25">
      <c r="A137" s="187" t="b">
        <v>1</v>
      </c>
      <c r="B137" s="188" t="b">
        <v>1</v>
      </c>
      <c r="C137" s="179" t="e">
        <f t="shared" si="28"/>
        <v>#N/A</v>
      </c>
      <c r="E137" s="180">
        <v>2108</v>
      </c>
      <c r="F137" s="100">
        <f t="shared" si="52"/>
        <v>125</v>
      </c>
      <c r="G137" s="181">
        <f t="shared" si="29"/>
        <v>-55</v>
      </c>
      <c r="H137" s="181" t="e">
        <f t="shared" si="49"/>
        <v>#N/A</v>
      </c>
      <c r="J137" s="182">
        <v>0</v>
      </c>
      <c r="K137" s="101"/>
      <c r="L137" s="183" t="e">
        <f t="shared" si="50"/>
        <v>#N/A</v>
      </c>
      <c r="M137" s="184"/>
      <c r="N137" s="91"/>
      <c r="O137" s="91"/>
      <c r="P137" s="90">
        <v>0</v>
      </c>
      <c r="Q137" s="87">
        <v>1</v>
      </c>
      <c r="R137" s="185">
        <v>0</v>
      </c>
      <c r="S137" s="185">
        <v>0</v>
      </c>
      <c r="T137" s="185">
        <v>0</v>
      </c>
      <c r="U137" s="185">
        <v>0</v>
      </c>
      <c r="V137" s="182">
        <v>0</v>
      </c>
      <c r="W137" s="182">
        <v>0</v>
      </c>
      <c r="X137" s="182">
        <v>0</v>
      </c>
      <c r="Y137" s="182">
        <v>0</v>
      </c>
      <c r="Z137" s="182">
        <v>0</v>
      </c>
      <c r="AA137" s="182">
        <v>0</v>
      </c>
      <c r="AB137" s="182">
        <v>0</v>
      </c>
      <c r="AC137" s="182">
        <v>0</v>
      </c>
      <c r="AD137" s="182">
        <v>0</v>
      </c>
      <c r="AE137" s="182">
        <v>0</v>
      </c>
      <c r="AF137" s="182">
        <v>0</v>
      </c>
      <c r="AG137" s="182">
        <v>0</v>
      </c>
      <c r="AH137" s="182">
        <v>0</v>
      </c>
      <c r="AI137" s="182">
        <v>0</v>
      </c>
      <c r="AJ137" s="182">
        <v>0</v>
      </c>
      <c r="AL137" s="185">
        <f t="shared" si="51"/>
        <v>1</v>
      </c>
      <c r="AM137" s="185">
        <f t="shared" si="30"/>
        <v>0</v>
      </c>
      <c r="AN137" s="185">
        <f t="shared" si="31"/>
        <v>0</v>
      </c>
      <c r="AO137" s="185">
        <f t="shared" si="32"/>
        <v>0</v>
      </c>
      <c r="AP137" s="185">
        <f t="shared" si="33"/>
        <v>0</v>
      </c>
      <c r="AQ137" s="185">
        <f t="shared" si="34"/>
        <v>0</v>
      </c>
      <c r="AR137" s="185">
        <f t="shared" si="35"/>
        <v>0</v>
      </c>
      <c r="AS137" s="185">
        <f t="shared" si="36"/>
        <v>0</v>
      </c>
      <c r="AT137" s="185">
        <f t="shared" si="37"/>
        <v>0</v>
      </c>
      <c r="AU137" s="185">
        <f t="shared" si="38"/>
        <v>0</v>
      </c>
      <c r="AV137" s="185">
        <f t="shared" si="39"/>
        <v>0</v>
      </c>
      <c r="AW137" s="185">
        <f t="shared" si="40"/>
        <v>0</v>
      </c>
      <c r="AX137" s="185">
        <f t="shared" si="41"/>
        <v>0</v>
      </c>
      <c r="AY137" s="185">
        <f t="shared" si="42"/>
        <v>0</v>
      </c>
      <c r="AZ137" s="185">
        <f t="shared" si="43"/>
        <v>0</v>
      </c>
      <c r="BA137" s="185">
        <f t="shared" si="44"/>
        <v>0</v>
      </c>
      <c r="BB137" s="185">
        <f t="shared" si="45"/>
        <v>0</v>
      </c>
      <c r="BC137" s="185">
        <f t="shared" si="46"/>
        <v>0</v>
      </c>
      <c r="BD137" s="185">
        <f t="shared" si="47"/>
        <v>0</v>
      </c>
      <c r="BE137" s="185">
        <f t="shared" si="48"/>
        <v>0</v>
      </c>
    </row>
    <row r="138" spans="1:57" s="90" customFormat="1" ht="15" hidden="1" customHeight="1" x14ac:dyDescent="0.25">
      <c r="A138" s="187" t="b">
        <v>1</v>
      </c>
      <c r="B138" s="188" t="b">
        <v>1</v>
      </c>
      <c r="C138" s="179" t="e">
        <f t="shared" si="28"/>
        <v>#N/A</v>
      </c>
      <c r="E138" s="180">
        <v>2109</v>
      </c>
      <c r="F138" s="100">
        <f t="shared" si="52"/>
        <v>126</v>
      </c>
      <c r="G138" s="181">
        <f t="shared" si="29"/>
        <v>-56</v>
      </c>
      <c r="H138" s="181" t="e">
        <f t="shared" si="49"/>
        <v>#N/A</v>
      </c>
      <c r="J138" s="182">
        <v>0</v>
      </c>
      <c r="K138" s="101"/>
      <c r="L138" s="183" t="e">
        <f t="shared" si="50"/>
        <v>#N/A</v>
      </c>
      <c r="M138" s="184"/>
      <c r="N138" s="91"/>
      <c r="O138" s="91"/>
      <c r="P138" s="90">
        <v>0</v>
      </c>
      <c r="Q138" s="87">
        <v>1</v>
      </c>
      <c r="R138" s="185">
        <v>0</v>
      </c>
      <c r="S138" s="185">
        <v>0</v>
      </c>
      <c r="T138" s="185">
        <v>0</v>
      </c>
      <c r="U138" s="185">
        <v>0</v>
      </c>
      <c r="V138" s="182">
        <v>0</v>
      </c>
      <c r="W138" s="182">
        <v>0</v>
      </c>
      <c r="X138" s="182">
        <v>0</v>
      </c>
      <c r="Y138" s="182">
        <v>0</v>
      </c>
      <c r="Z138" s="182">
        <v>0</v>
      </c>
      <c r="AA138" s="182">
        <v>0</v>
      </c>
      <c r="AB138" s="182">
        <v>0</v>
      </c>
      <c r="AC138" s="182">
        <v>0</v>
      </c>
      <c r="AD138" s="182">
        <v>0</v>
      </c>
      <c r="AE138" s="182">
        <v>0</v>
      </c>
      <c r="AF138" s="182">
        <v>0</v>
      </c>
      <c r="AG138" s="182">
        <v>0</v>
      </c>
      <c r="AH138" s="182">
        <v>0</v>
      </c>
      <c r="AI138" s="182">
        <v>0</v>
      </c>
      <c r="AJ138" s="182">
        <v>0</v>
      </c>
      <c r="AL138" s="185">
        <f t="shared" si="51"/>
        <v>1</v>
      </c>
      <c r="AM138" s="185">
        <f t="shared" si="30"/>
        <v>0</v>
      </c>
      <c r="AN138" s="185">
        <f t="shared" si="31"/>
        <v>0</v>
      </c>
      <c r="AO138" s="185">
        <f t="shared" si="32"/>
        <v>0</v>
      </c>
      <c r="AP138" s="185">
        <f t="shared" si="33"/>
        <v>0</v>
      </c>
      <c r="AQ138" s="185">
        <f t="shared" si="34"/>
        <v>0</v>
      </c>
      <c r="AR138" s="185">
        <f t="shared" si="35"/>
        <v>0</v>
      </c>
      <c r="AS138" s="185">
        <f t="shared" si="36"/>
        <v>0</v>
      </c>
      <c r="AT138" s="185">
        <f t="shared" si="37"/>
        <v>0</v>
      </c>
      <c r="AU138" s="185">
        <f t="shared" si="38"/>
        <v>0</v>
      </c>
      <c r="AV138" s="185">
        <f t="shared" si="39"/>
        <v>0</v>
      </c>
      <c r="AW138" s="185">
        <f t="shared" si="40"/>
        <v>0</v>
      </c>
      <c r="AX138" s="185">
        <f t="shared" si="41"/>
        <v>0</v>
      </c>
      <c r="AY138" s="185">
        <f t="shared" si="42"/>
        <v>0</v>
      </c>
      <c r="AZ138" s="185">
        <f t="shared" si="43"/>
        <v>0</v>
      </c>
      <c r="BA138" s="185">
        <f t="shared" si="44"/>
        <v>0</v>
      </c>
      <c r="BB138" s="185">
        <f t="shared" si="45"/>
        <v>0</v>
      </c>
      <c r="BC138" s="185">
        <f t="shared" si="46"/>
        <v>0</v>
      </c>
      <c r="BD138" s="185">
        <f t="shared" si="47"/>
        <v>0</v>
      </c>
      <c r="BE138" s="185">
        <f t="shared" si="48"/>
        <v>0</v>
      </c>
    </row>
    <row r="139" spans="1:57" s="90" customFormat="1" ht="15" hidden="1" customHeight="1" x14ac:dyDescent="0.25">
      <c r="A139" s="187" t="b">
        <v>1</v>
      </c>
      <c r="B139" s="188" t="b">
        <v>1</v>
      </c>
      <c r="C139" s="179" t="e">
        <f t="shared" si="28"/>
        <v>#N/A</v>
      </c>
      <c r="E139" s="180">
        <v>2110</v>
      </c>
      <c r="F139" s="100">
        <f t="shared" si="52"/>
        <v>127</v>
      </c>
      <c r="G139" s="181">
        <f t="shared" si="29"/>
        <v>-57</v>
      </c>
      <c r="H139" s="181" t="e">
        <f t="shared" si="49"/>
        <v>#N/A</v>
      </c>
      <c r="J139" s="182">
        <v>0</v>
      </c>
      <c r="K139" s="101"/>
      <c r="L139" s="183" t="e">
        <f t="shared" si="50"/>
        <v>#N/A</v>
      </c>
      <c r="M139" s="184"/>
      <c r="N139" s="91"/>
      <c r="O139" s="91"/>
      <c r="P139" s="90">
        <v>0</v>
      </c>
      <c r="Q139" s="87">
        <v>1</v>
      </c>
      <c r="R139" s="185">
        <v>0</v>
      </c>
      <c r="S139" s="185">
        <v>0</v>
      </c>
      <c r="T139" s="185">
        <v>0</v>
      </c>
      <c r="U139" s="185">
        <v>0</v>
      </c>
      <c r="V139" s="182">
        <v>0</v>
      </c>
      <c r="W139" s="182">
        <v>0</v>
      </c>
      <c r="X139" s="182">
        <v>0</v>
      </c>
      <c r="Y139" s="182">
        <v>0</v>
      </c>
      <c r="Z139" s="182">
        <v>0</v>
      </c>
      <c r="AA139" s="182">
        <v>0</v>
      </c>
      <c r="AB139" s="182">
        <v>0</v>
      </c>
      <c r="AC139" s="182">
        <v>0</v>
      </c>
      <c r="AD139" s="182">
        <v>0</v>
      </c>
      <c r="AE139" s="182">
        <v>0</v>
      </c>
      <c r="AF139" s="182">
        <v>0</v>
      </c>
      <c r="AG139" s="182">
        <v>0</v>
      </c>
      <c r="AH139" s="182">
        <v>0</v>
      </c>
      <c r="AI139" s="182">
        <v>0</v>
      </c>
      <c r="AJ139" s="182">
        <v>0</v>
      </c>
      <c r="AL139" s="185">
        <f t="shared" si="51"/>
        <v>1</v>
      </c>
      <c r="AM139" s="185">
        <f t="shared" si="30"/>
        <v>0</v>
      </c>
      <c r="AN139" s="185">
        <f t="shared" si="31"/>
        <v>0</v>
      </c>
      <c r="AO139" s="185">
        <f t="shared" si="32"/>
        <v>0</v>
      </c>
      <c r="AP139" s="185">
        <f t="shared" si="33"/>
        <v>0</v>
      </c>
      <c r="AQ139" s="185">
        <f t="shared" si="34"/>
        <v>0</v>
      </c>
      <c r="AR139" s="185">
        <f t="shared" si="35"/>
        <v>0</v>
      </c>
      <c r="AS139" s="185">
        <f t="shared" si="36"/>
        <v>0</v>
      </c>
      <c r="AT139" s="185">
        <f t="shared" si="37"/>
        <v>0</v>
      </c>
      <c r="AU139" s="185">
        <f t="shared" si="38"/>
        <v>0</v>
      </c>
      <c r="AV139" s="185">
        <f t="shared" si="39"/>
        <v>0</v>
      </c>
      <c r="AW139" s="185">
        <f t="shared" si="40"/>
        <v>0</v>
      </c>
      <c r="AX139" s="185">
        <f t="shared" si="41"/>
        <v>0</v>
      </c>
      <c r="AY139" s="185">
        <f t="shared" si="42"/>
        <v>0</v>
      </c>
      <c r="AZ139" s="185">
        <f t="shared" si="43"/>
        <v>0</v>
      </c>
      <c r="BA139" s="185">
        <f t="shared" si="44"/>
        <v>0</v>
      </c>
      <c r="BB139" s="185">
        <f t="shared" si="45"/>
        <v>0</v>
      </c>
      <c r="BC139" s="185">
        <f t="shared" si="46"/>
        <v>0</v>
      </c>
      <c r="BD139" s="185">
        <f t="shared" si="47"/>
        <v>0</v>
      </c>
      <c r="BE139" s="185">
        <f t="shared" si="48"/>
        <v>0</v>
      </c>
    </row>
    <row r="140" spans="1:57" s="90" customFormat="1" ht="15" hidden="1" customHeight="1" x14ac:dyDescent="0.25">
      <c r="A140" s="187" t="b">
        <v>1</v>
      </c>
      <c r="B140" s="188" t="b">
        <v>1</v>
      </c>
      <c r="C140" s="179" t="e">
        <f t="shared" si="28"/>
        <v>#N/A</v>
      </c>
      <c r="E140" s="180">
        <v>2111</v>
      </c>
      <c r="F140" s="100">
        <f t="shared" si="52"/>
        <v>128</v>
      </c>
      <c r="G140" s="181">
        <f t="shared" si="29"/>
        <v>-58</v>
      </c>
      <c r="H140" s="181" t="e">
        <f t="shared" si="49"/>
        <v>#N/A</v>
      </c>
      <c r="J140" s="182">
        <v>0</v>
      </c>
      <c r="K140" s="101"/>
      <c r="L140" s="183" t="e">
        <f t="shared" si="50"/>
        <v>#N/A</v>
      </c>
      <c r="M140" s="184"/>
      <c r="N140" s="91"/>
      <c r="O140" s="91"/>
      <c r="P140" s="90">
        <v>0</v>
      </c>
      <c r="Q140" s="87">
        <v>1</v>
      </c>
      <c r="R140" s="185">
        <v>0</v>
      </c>
      <c r="S140" s="185">
        <v>0</v>
      </c>
      <c r="T140" s="185">
        <v>0</v>
      </c>
      <c r="U140" s="185">
        <v>0</v>
      </c>
      <c r="V140" s="182">
        <v>0</v>
      </c>
      <c r="W140" s="182">
        <v>0</v>
      </c>
      <c r="X140" s="182">
        <v>0</v>
      </c>
      <c r="Y140" s="182">
        <v>0</v>
      </c>
      <c r="Z140" s="182">
        <v>0</v>
      </c>
      <c r="AA140" s="182">
        <v>0</v>
      </c>
      <c r="AB140" s="182">
        <v>0</v>
      </c>
      <c r="AC140" s="182">
        <v>0</v>
      </c>
      <c r="AD140" s="182">
        <v>0</v>
      </c>
      <c r="AE140" s="182">
        <v>0</v>
      </c>
      <c r="AF140" s="182">
        <v>0</v>
      </c>
      <c r="AG140" s="182">
        <v>0</v>
      </c>
      <c r="AH140" s="182">
        <v>0</v>
      </c>
      <c r="AI140" s="182">
        <v>0</v>
      </c>
      <c r="AJ140" s="182">
        <v>0</v>
      </c>
      <c r="AL140" s="185">
        <f t="shared" si="51"/>
        <v>1</v>
      </c>
      <c r="AM140" s="185">
        <f t="shared" si="30"/>
        <v>0</v>
      </c>
      <c r="AN140" s="185">
        <f t="shared" si="31"/>
        <v>0</v>
      </c>
      <c r="AO140" s="185">
        <f t="shared" si="32"/>
        <v>0</v>
      </c>
      <c r="AP140" s="185">
        <f t="shared" si="33"/>
        <v>0</v>
      </c>
      <c r="AQ140" s="185">
        <f t="shared" si="34"/>
        <v>0</v>
      </c>
      <c r="AR140" s="185">
        <f t="shared" si="35"/>
        <v>0</v>
      </c>
      <c r="AS140" s="185">
        <f t="shared" si="36"/>
        <v>0</v>
      </c>
      <c r="AT140" s="185">
        <f t="shared" si="37"/>
        <v>0</v>
      </c>
      <c r="AU140" s="185">
        <f t="shared" si="38"/>
        <v>0</v>
      </c>
      <c r="AV140" s="185">
        <f t="shared" si="39"/>
        <v>0</v>
      </c>
      <c r="AW140" s="185">
        <f t="shared" si="40"/>
        <v>0</v>
      </c>
      <c r="AX140" s="185">
        <f t="shared" si="41"/>
        <v>0</v>
      </c>
      <c r="AY140" s="185">
        <f t="shared" si="42"/>
        <v>0</v>
      </c>
      <c r="AZ140" s="185">
        <f t="shared" si="43"/>
        <v>0</v>
      </c>
      <c r="BA140" s="185">
        <f t="shared" si="44"/>
        <v>0</v>
      </c>
      <c r="BB140" s="185">
        <f t="shared" si="45"/>
        <v>0</v>
      </c>
      <c r="BC140" s="185">
        <f t="shared" si="46"/>
        <v>0</v>
      </c>
      <c r="BD140" s="185">
        <f t="shared" si="47"/>
        <v>0</v>
      </c>
      <c r="BE140" s="185">
        <f t="shared" si="48"/>
        <v>0</v>
      </c>
    </row>
    <row r="141" spans="1:57" s="90" customFormat="1" ht="15" hidden="1" customHeight="1" x14ac:dyDescent="0.25">
      <c r="A141" s="187" t="b">
        <v>1</v>
      </c>
      <c r="B141" s="188" t="b">
        <v>1</v>
      </c>
      <c r="C141" s="179" t="e">
        <f t="shared" si="28"/>
        <v>#N/A</v>
      </c>
      <c r="E141" s="180">
        <v>2112</v>
      </c>
      <c r="F141" s="100">
        <f t="shared" si="52"/>
        <v>129</v>
      </c>
      <c r="G141" s="181">
        <f t="shared" si="29"/>
        <v>-59</v>
      </c>
      <c r="H141" s="181" t="e">
        <f t="shared" si="49"/>
        <v>#N/A</v>
      </c>
      <c r="J141" s="182">
        <v>0</v>
      </c>
      <c r="K141" s="101"/>
      <c r="L141" s="183" t="e">
        <f t="shared" si="50"/>
        <v>#N/A</v>
      </c>
      <c r="M141" s="184"/>
      <c r="N141" s="91"/>
      <c r="O141" s="91"/>
      <c r="P141" s="90">
        <v>0</v>
      </c>
      <c r="Q141" s="87">
        <v>1</v>
      </c>
      <c r="R141" s="185">
        <v>0</v>
      </c>
      <c r="S141" s="185">
        <v>0</v>
      </c>
      <c r="T141" s="185">
        <v>0</v>
      </c>
      <c r="U141" s="185">
        <v>0</v>
      </c>
      <c r="V141" s="182">
        <v>0</v>
      </c>
      <c r="W141" s="182">
        <v>0</v>
      </c>
      <c r="X141" s="182">
        <v>0</v>
      </c>
      <c r="Y141" s="182">
        <v>0</v>
      </c>
      <c r="Z141" s="182">
        <v>0</v>
      </c>
      <c r="AA141" s="182">
        <v>0</v>
      </c>
      <c r="AB141" s="182">
        <v>0</v>
      </c>
      <c r="AC141" s="182">
        <v>0</v>
      </c>
      <c r="AD141" s="182">
        <v>0</v>
      </c>
      <c r="AE141" s="182">
        <v>0</v>
      </c>
      <c r="AF141" s="182">
        <v>0</v>
      </c>
      <c r="AG141" s="182">
        <v>0</v>
      </c>
      <c r="AH141" s="182">
        <v>0</v>
      </c>
      <c r="AI141" s="182">
        <v>0</v>
      </c>
      <c r="AJ141" s="182">
        <v>0</v>
      </c>
      <c r="AL141" s="185">
        <f t="shared" si="51"/>
        <v>1</v>
      </c>
      <c r="AM141" s="185">
        <f t="shared" si="30"/>
        <v>0</v>
      </c>
      <c r="AN141" s="185">
        <f t="shared" si="31"/>
        <v>0</v>
      </c>
      <c r="AO141" s="185">
        <f t="shared" si="32"/>
        <v>0</v>
      </c>
      <c r="AP141" s="185">
        <f t="shared" si="33"/>
        <v>0</v>
      </c>
      <c r="AQ141" s="185">
        <f t="shared" si="34"/>
        <v>0</v>
      </c>
      <c r="AR141" s="185">
        <f t="shared" si="35"/>
        <v>0</v>
      </c>
      <c r="AS141" s="185">
        <f t="shared" si="36"/>
        <v>0</v>
      </c>
      <c r="AT141" s="185">
        <f t="shared" si="37"/>
        <v>0</v>
      </c>
      <c r="AU141" s="185">
        <f t="shared" si="38"/>
        <v>0</v>
      </c>
      <c r="AV141" s="185">
        <f t="shared" si="39"/>
        <v>0</v>
      </c>
      <c r="AW141" s="185">
        <f t="shared" si="40"/>
        <v>0</v>
      </c>
      <c r="AX141" s="185">
        <f t="shared" si="41"/>
        <v>0</v>
      </c>
      <c r="AY141" s="185">
        <f t="shared" si="42"/>
        <v>0</v>
      </c>
      <c r="AZ141" s="185">
        <f t="shared" si="43"/>
        <v>0</v>
      </c>
      <c r="BA141" s="185">
        <f t="shared" si="44"/>
        <v>0</v>
      </c>
      <c r="BB141" s="185">
        <f t="shared" si="45"/>
        <v>0</v>
      </c>
      <c r="BC141" s="185">
        <f t="shared" si="46"/>
        <v>0</v>
      </c>
      <c r="BD141" s="185">
        <f t="shared" si="47"/>
        <v>0</v>
      </c>
      <c r="BE141" s="185">
        <f t="shared" si="48"/>
        <v>0</v>
      </c>
    </row>
    <row r="142" spans="1:57" s="90" customFormat="1" ht="15" hidden="1" customHeight="1" x14ac:dyDescent="0.25">
      <c r="A142" s="187" t="b">
        <v>1</v>
      </c>
      <c r="B142" s="188" t="b">
        <v>1</v>
      </c>
      <c r="C142" s="179" t="e">
        <f t="shared" si="28"/>
        <v>#N/A</v>
      </c>
      <c r="E142" s="180">
        <v>2113</v>
      </c>
      <c r="F142" s="100">
        <f t="shared" si="52"/>
        <v>130</v>
      </c>
      <c r="G142" s="181">
        <f t="shared" si="29"/>
        <v>-60</v>
      </c>
      <c r="H142" s="181" t="e">
        <f t="shared" si="49"/>
        <v>#N/A</v>
      </c>
      <c r="J142" s="182">
        <v>0</v>
      </c>
      <c r="K142" s="101"/>
      <c r="L142" s="183" t="e">
        <f t="shared" si="50"/>
        <v>#N/A</v>
      </c>
      <c r="M142" s="184"/>
      <c r="N142" s="91"/>
      <c r="O142" s="91"/>
      <c r="P142" s="90">
        <v>0</v>
      </c>
      <c r="Q142" s="87">
        <v>1</v>
      </c>
      <c r="R142" s="185">
        <v>0</v>
      </c>
      <c r="S142" s="185">
        <v>0</v>
      </c>
      <c r="T142" s="185">
        <v>0</v>
      </c>
      <c r="U142" s="185">
        <v>0</v>
      </c>
      <c r="V142" s="182">
        <v>0</v>
      </c>
      <c r="W142" s="182">
        <v>0</v>
      </c>
      <c r="X142" s="182">
        <v>0</v>
      </c>
      <c r="Y142" s="182">
        <v>0</v>
      </c>
      <c r="Z142" s="182">
        <v>0</v>
      </c>
      <c r="AA142" s="182">
        <v>0</v>
      </c>
      <c r="AB142" s="182">
        <v>0</v>
      </c>
      <c r="AC142" s="182">
        <v>0</v>
      </c>
      <c r="AD142" s="182">
        <v>0</v>
      </c>
      <c r="AE142" s="182">
        <v>0</v>
      </c>
      <c r="AF142" s="182">
        <v>0</v>
      </c>
      <c r="AG142" s="182">
        <v>0</v>
      </c>
      <c r="AH142" s="182">
        <v>0</v>
      </c>
      <c r="AI142" s="182">
        <v>0</v>
      </c>
      <c r="AJ142" s="182">
        <v>0</v>
      </c>
      <c r="AL142" s="185">
        <f t="shared" si="51"/>
        <v>1</v>
      </c>
      <c r="AM142" s="185">
        <f t="shared" si="30"/>
        <v>0</v>
      </c>
      <c r="AN142" s="185">
        <f t="shared" si="31"/>
        <v>0</v>
      </c>
      <c r="AO142" s="185">
        <f t="shared" si="32"/>
        <v>0</v>
      </c>
      <c r="AP142" s="185">
        <f t="shared" si="33"/>
        <v>0</v>
      </c>
      <c r="AQ142" s="185">
        <f t="shared" si="34"/>
        <v>0</v>
      </c>
      <c r="AR142" s="185">
        <f t="shared" si="35"/>
        <v>0</v>
      </c>
      <c r="AS142" s="185">
        <f t="shared" si="36"/>
        <v>0</v>
      </c>
      <c r="AT142" s="185">
        <f t="shared" si="37"/>
        <v>0</v>
      </c>
      <c r="AU142" s="185">
        <f t="shared" si="38"/>
        <v>0</v>
      </c>
      <c r="AV142" s="185">
        <f t="shared" si="39"/>
        <v>0</v>
      </c>
      <c r="AW142" s="185">
        <f t="shared" si="40"/>
        <v>0</v>
      </c>
      <c r="AX142" s="185">
        <f t="shared" si="41"/>
        <v>0</v>
      </c>
      <c r="AY142" s="185">
        <f t="shared" si="42"/>
        <v>0</v>
      </c>
      <c r="AZ142" s="185">
        <f t="shared" si="43"/>
        <v>0</v>
      </c>
      <c r="BA142" s="185">
        <f t="shared" si="44"/>
        <v>0</v>
      </c>
      <c r="BB142" s="185">
        <f t="shared" si="45"/>
        <v>0</v>
      </c>
      <c r="BC142" s="185">
        <f t="shared" si="46"/>
        <v>0</v>
      </c>
      <c r="BD142" s="185">
        <f t="shared" si="47"/>
        <v>0</v>
      </c>
      <c r="BE142" s="185">
        <f t="shared" si="48"/>
        <v>0</v>
      </c>
    </row>
    <row r="143" spans="1:57" s="90" customFormat="1" ht="15" hidden="1" customHeight="1" x14ac:dyDescent="0.25">
      <c r="A143" s="187" t="b">
        <v>1</v>
      </c>
      <c r="B143" s="188" t="b">
        <v>1</v>
      </c>
      <c r="C143" s="179" t="e">
        <f t="shared" si="28"/>
        <v>#N/A</v>
      </c>
      <c r="E143" s="180">
        <v>2114</v>
      </c>
      <c r="F143" s="100">
        <f t="shared" si="52"/>
        <v>131</v>
      </c>
      <c r="G143" s="181">
        <f>Pension_age-F143</f>
        <v>-61</v>
      </c>
      <c r="H143" s="181" t="e">
        <f t="shared" si="49"/>
        <v>#N/A</v>
      </c>
      <c r="J143" s="182">
        <v>0</v>
      </c>
      <c r="K143" s="101"/>
      <c r="L143" s="183" t="e">
        <f t="shared" si="50"/>
        <v>#N/A</v>
      </c>
      <c r="M143" s="184"/>
      <c r="N143" s="91"/>
      <c r="O143" s="91"/>
      <c r="P143" s="90">
        <v>0</v>
      </c>
      <c r="Q143" s="87">
        <v>1</v>
      </c>
      <c r="R143" s="185">
        <v>0</v>
      </c>
      <c r="S143" s="185">
        <v>0</v>
      </c>
      <c r="T143" s="185">
        <v>0</v>
      </c>
      <c r="U143" s="185">
        <v>0</v>
      </c>
      <c r="V143" s="182">
        <v>0</v>
      </c>
      <c r="W143" s="182">
        <v>0</v>
      </c>
      <c r="X143" s="182">
        <v>0</v>
      </c>
      <c r="Y143" s="182">
        <v>0</v>
      </c>
      <c r="Z143" s="182">
        <v>0</v>
      </c>
      <c r="AA143" s="182">
        <v>0</v>
      </c>
      <c r="AB143" s="182">
        <v>0</v>
      </c>
      <c r="AC143" s="182">
        <v>0</v>
      </c>
      <c r="AD143" s="182">
        <v>0</v>
      </c>
      <c r="AE143" s="182">
        <v>0</v>
      </c>
      <c r="AF143" s="182">
        <v>0</v>
      </c>
      <c r="AG143" s="182">
        <v>0</v>
      </c>
      <c r="AH143" s="182">
        <v>0</v>
      </c>
      <c r="AI143" s="182">
        <v>0</v>
      </c>
      <c r="AJ143" s="182">
        <v>0</v>
      </c>
      <c r="AL143" s="185">
        <f t="shared" si="51"/>
        <v>1</v>
      </c>
      <c r="AM143" s="185">
        <f t="shared" si="30"/>
        <v>0</v>
      </c>
      <c r="AN143" s="185">
        <f t="shared" si="31"/>
        <v>0</v>
      </c>
      <c r="AO143" s="185">
        <f t="shared" si="32"/>
        <v>0</v>
      </c>
      <c r="AP143" s="185">
        <f t="shared" si="33"/>
        <v>0</v>
      </c>
      <c r="AQ143" s="185">
        <f t="shared" si="34"/>
        <v>0</v>
      </c>
      <c r="AR143" s="185">
        <f t="shared" si="35"/>
        <v>0</v>
      </c>
      <c r="AS143" s="185">
        <f t="shared" si="36"/>
        <v>0</v>
      </c>
      <c r="AT143" s="185">
        <f t="shared" si="37"/>
        <v>0</v>
      </c>
      <c r="AU143" s="185">
        <f t="shared" si="38"/>
        <v>0</v>
      </c>
      <c r="AV143" s="185">
        <f t="shared" si="39"/>
        <v>0</v>
      </c>
      <c r="AW143" s="185">
        <f t="shared" si="40"/>
        <v>0</v>
      </c>
      <c r="AX143" s="185">
        <f t="shared" si="41"/>
        <v>0</v>
      </c>
      <c r="AY143" s="185">
        <f t="shared" si="42"/>
        <v>0</v>
      </c>
      <c r="AZ143" s="185">
        <f t="shared" si="43"/>
        <v>0</v>
      </c>
      <c r="BA143" s="185">
        <f t="shared" si="44"/>
        <v>0</v>
      </c>
      <c r="BB143" s="185">
        <f t="shared" si="45"/>
        <v>0</v>
      </c>
      <c r="BC143" s="185">
        <f t="shared" si="46"/>
        <v>0</v>
      </c>
      <c r="BD143" s="185">
        <f t="shared" si="47"/>
        <v>0</v>
      </c>
      <c r="BE143" s="185">
        <f t="shared" si="48"/>
        <v>0</v>
      </c>
    </row>
    <row r="144" spans="1:57" s="90" customFormat="1" ht="15" hidden="1" customHeight="1" x14ac:dyDescent="0.25">
      <c r="A144" s="187" t="b">
        <v>1</v>
      </c>
      <c r="B144" s="188" t="b">
        <v>1</v>
      </c>
      <c r="C144" s="179" t="e">
        <f t="shared" si="28"/>
        <v>#N/A</v>
      </c>
      <c r="E144" s="180">
        <v>2115</v>
      </c>
      <c r="F144" s="100">
        <f t="shared" si="52"/>
        <v>132</v>
      </c>
      <c r="G144" s="181">
        <f>Pension_age-F144</f>
        <v>-62</v>
      </c>
      <c r="H144" s="181" t="e">
        <f t="shared" si="49"/>
        <v>#N/A</v>
      </c>
      <c r="J144" s="182">
        <v>0</v>
      </c>
      <c r="K144" s="101"/>
      <c r="L144" s="183" t="e">
        <f t="shared" si="50"/>
        <v>#N/A</v>
      </c>
      <c r="M144" s="184"/>
      <c r="N144" s="91"/>
      <c r="O144" s="91"/>
      <c r="P144" s="90">
        <v>0</v>
      </c>
      <c r="Q144" s="87">
        <v>1</v>
      </c>
      <c r="R144" s="185">
        <v>0</v>
      </c>
      <c r="S144" s="185">
        <v>0</v>
      </c>
      <c r="T144" s="185">
        <v>0</v>
      </c>
      <c r="U144" s="185">
        <v>0</v>
      </c>
      <c r="V144" s="182">
        <v>0</v>
      </c>
      <c r="W144" s="182">
        <v>0</v>
      </c>
      <c r="X144" s="182">
        <v>0</v>
      </c>
      <c r="Y144" s="182">
        <v>0</v>
      </c>
      <c r="Z144" s="182">
        <v>0</v>
      </c>
      <c r="AA144" s="182">
        <v>0</v>
      </c>
      <c r="AB144" s="182">
        <v>0</v>
      </c>
      <c r="AC144" s="182">
        <v>0</v>
      </c>
      <c r="AD144" s="182">
        <v>0</v>
      </c>
      <c r="AE144" s="182">
        <v>0</v>
      </c>
      <c r="AF144" s="182">
        <v>0</v>
      </c>
      <c r="AG144" s="182">
        <v>0</v>
      </c>
      <c r="AH144" s="182">
        <v>0</v>
      </c>
      <c r="AI144" s="182">
        <v>0</v>
      </c>
      <c r="AJ144" s="182">
        <v>0</v>
      </c>
      <c r="AL144" s="185">
        <f t="shared" si="51"/>
        <v>1</v>
      </c>
      <c r="AM144" s="185">
        <f t="shared" si="30"/>
        <v>0</v>
      </c>
      <c r="AN144" s="185">
        <f t="shared" si="31"/>
        <v>0</v>
      </c>
      <c r="AO144" s="185">
        <f t="shared" si="32"/>
        <v>0</v>
      </c>
      <c r="AP144" s="185">
        <f t="shared" si="33"/>
        <v>0</v>
      </c>
      <c r="AQ144" s="185">
        <f t="shared" si="34"/>
        <v>0</v>
      </c>
      <c r="AR144" s="185">
        <f t="shared" si="35"/>
        <v>0</v>
      </c>
      <c r="AS144" s="185">
        <f t="shared" si="36"/>
        <v>0</v>
      </c>
      <c r="AT144" s="185">
        <f t="shared" si="37"/>
        <v>0</v>
      </c>
      <c r="AU144" s="185">
        <f t="shared" si="38"/>
        <v>0</v>
      </c>
      <c r="AV144" s="185">
        <f t="shared" si="39"/>
        <v>0</v>
      </c>
      <c r="AW144" s="185">
        <f t="shared" si="40"/>
        <v>0</v>
      </c>
      <c r="AX144" s="185">
        <f t="shared" si="41"/>
        <v>0</v>
      </c>
      <c r="AY144" s="185">
        <f t="shared" si="42"/>
        <v>0</v>
      </c>
      <c r="AZ144" s="185">
        <f t="shared" si="43"/>
        <v>0</v>
      </c>
      <c r="BA144" s="185">
        <f t="shared" si="44"/>
        <v>0</v>
      </c>
      <c r="BB144" s="185">
        <f t="shared" si="45"/>
        <v>0</v>
      </c>
      <c r="BC144" s="185">
        <f t="shared" si="46"/>
        <v>0</v>
      </c>
      <c r="BD144" s="185">
        <f t="shared" si="47"/>
        <v>0</v>
      </c>
      <c r="BE144" s="185">
        <f t="shared" si="48"/>
        <v>0</v>
      </c>
    </row>
    <row r="145" spans="1:57" s="90" customFormat="1" ht="15" hidden="1" customHeight="1" x14ac:dyDescent="0.25">
      <c r="A145" s="187" t="b">
        <v>1</v>
      </c>
      <c r="B145" s="188" t="b">
        <v>1</v>
      </c>
      <c r="C145" s="179" t="e">
        <f t="shared" si="28"/>
        <v>#N/A</v>
      </c>
      <c r="E145" s="180">
        <v>2116</v>
      </c>
      <c r="F145" s="100">
        <f t="shared" si="52"/>
        <v>133</v>
      </c>
      <c r="G145" s="181">
        <f>Pension_age-F145</f>
        <v>-63</v>
      </c>
      <c r="H145" s="181" t="e">
        <f t="shared" si="49"/>
        <v>#N/A</v>
      </c>
      <c r="J145" s="182">
        <v>0</v>
      </c>
      <c r="K145" s="101"/>
      <c r="L145" s="183" t="e">
        <f t="shared" si="50"/>
        <v>#N/A</v>
      </c>
      <c r="M145" s="184"/>
      <c r="N145" s="91"/>
      <c r="O145" s="91"/>
      <c r="P145" s="90">
        <v>0</v>
      </c>
      <c r="Q145" s="87">
        <v>1</v>
      </c>
      <c r="R145" s="185">
        <v>0</v>
      </c>
      <c r="S145" s="185">
        <v>0</v>
      </c>
      <c r="T145" s="185">
        <v>0</v>
      </c>
      <c r="U145" s="185">
        <v>0</v>
      </c>
      <c r="V145" s="182">
        <v>0</v>
      </c>
      <c r="W145" s="182">
        <v>0</v>
      </c>
      <c r="X145" s="182">
        <v>0</v>
      </c>
      <c r="Y145" s="182">
        <v>0</v>
      </c>
      <c r="Z145" s="182">
        <v>0</v>
      </c>
      <c r="AA145" s="182">
        <v>0</v>
      </c>
      <c r="AB145" s="182">
        <v>0</v>
      </c>
      <c r="AC145" s="182">
        <v>0</v>
      </c>
      <c r="AD145" s="182">
        <v>0</v>
      </c>
      <c r="AE145" s="182">
        <v>0</v>
      </c>
      <c r="AF145" s="182">
        <v>0</v>
      </c>
      <c r="AG145" s="182">
        <v>0</v>
      </c>
      <c r="AH145" s="182">
        <v>0</v>
      </c>
      <c r="AI145" s="182">
        <v>0</v>
      </c>
      <c r="AJ145" s="182">
        <v>0</v>
      </c>
      <c r="AL145" s="185">
        <f t="shared" si="51"/>
        <v>1</v>
      </c>
      <c r="AM145" s="185">
        <f t="shared" si="30"/>
        <v>0</v>
      </c>
      <c r="AN145" s="185">
        <f t="shared" si="31"/>
        <v>0</v>
      </c>
      <c r="AO145" s="185">
        <f t="shared" si="32"/>
        <v>0</v>
      </c>
      <c r="AP145" s="185">
        <f t="shared" si="33"/>
        <v>0</v>
      </c>
      <c r="AQ145" s="185">
        <f t="shared" si="34"/>
        <v>0</v>
      </c>
      <c r="AR145" s="185">
        <f t="shared" si="35"/>
        <v>0</v>
      </c>
      <c r="AS145" s="185">
        <f t="shared" si="36"/>
        <v>0</v>
      </c>
      <c r="AT145" s="185">
        <f t="shared" si="37"/>
        <v>0</v>
      </c>
      <c r="AU145" s="185">
        <f t="shared" si="38"/>
        <v>0</v>
      </c>
      <c r="AV145" s="185">
        <f t="shared" si="39"/>
        <v>0</v>
      </c>
      <c r="AW145" s="185">
        <f t="shared" si="40"/>
        <v>0</v>
      </c>
      <c r="AX145" s="185">
        <f t="shared" si="41"/>
        <v>0</v>
      </c>
      <c r="AY145" s="185">
        <f t="shared" si="42"/>
        <v>0</v>
      </c>
      <c r="AZ145" s="185">
        <f t="shared" si="43"/>
        <v>0</v>
      </c>
      <c r="BA145" s="185">
        <f t="shared" si="44"/>
        <v>0</v>
      </c>
      <c r="BB145" s="185">
        <f t="shared" si="45"/>
        <v>0</v>
      </c>
      <c r="BC145" s="185">
        <f t="shared" si="46"/>
        <v>0</v>
      </c>
      <c r="BD145" s="185">
        <f t="shared" si="47"/>
        <v>0</v>
      </c>
      <c r="BE145" s="185">
        <f t="shared" si="48"/>
        <v>0</v>
      </c>
    </row>
    <row r="146" spans="1:57" s="90" customFormat="1" ht="15" hidden="1" customHeight="1" x14ac:dyDescent="0.25">
      <c r="A146" s="187" t="b">
        <v>1</v>
      </c>
      <c r="B146" s="188" t="b">
        <v>1</v>
      </c>
      <c r="C146" s="179" t="e">
        <f t="shared" si="28"/>
        <v>#N/A</v>
      </c>
      <c r="E146" s="180">
        <v>2117</v>
      </c>
      <c r="F146" s="100">
        <f t="shared" si="52"/>
        <v>134</v>
      </c>
      <c r="G146" s="181">
        <f>Pension_age-F146</f>
        <v>-64</v>
      </c>
      <c r="H146" s="181" t="e">
        <f t="shared" si="49"/>
        <v>#N/A</v>
      </c>
      <c r="J146" s="182">
        <v>0</v>
      </c>
      <c r="K146" s="101"/>
      <c r="L146" s="183" t="e">
        <f t="shared" si="50"/>
        <v>#N/A</v>
      </c>
      <c r="M146" s="184"/>
      <c r="N146" s="91"/>
      <c r="O146" s="91"/>
      <c r="P146" s="90">
        <v>0</v>
      </c>
      <c r="Q146" s="87">
        <v>1</v>
      </c>
      <c r="R146" s="185">
        <v>0</v>
      </c>
      <c r="S146" s="185">
        <v>0</v>
      </c>
      <c r="T146" s="185">
        <v>0</v>
      </c>
      <c r="U146" s="185">
        <v>0</v>
      </c>
      <c r="V146" s="182">
        <v>0</v>
      </c>
      <c r="W146" s="182">
        <v>0</v>
      </c>
      <c r="X146" s="182">
        <v>0</v>
      </c>
      <c r="Y146" s="182">
        <v>0</v>
      </c>
      <c r="Z146" s="182">
        <v>0</v>
      </c>
      <c r="AA146" s="182">
        <v>0</v>
      </c>
      <c r="AB146" s="182">
        <v>0</v>
      </c>
      <c r="AC146" s="182">
        <v>0</v>
      </c>
      <c r="AD146" s="182">
        <v>0</v>
      </c>
      <c r="AE146" s="182">
        <v>0</v>
      </c>
      <c r="AF146" s="182">
        <v>0</v>
      </c>
      <c r="AG146" s="182">
        <v>0</v>
      </c>
      <c r="AH146" s="182">
        <v>0</v>
      </c>
      <c r="AI146" s="182">
        <v>0</v>
      </c>
      <c r="AJ146" s="182">
        <v>0</v>
      </c>
      <c r="AL146" s="185">
        <f t="shared" si="51"/>
        <v>1</v>
      </c>
      <c r="AM146" s="185">
        <f t="shared" si="30"/>
        <v>0</v>
      </c>
      <c r="AN146" s="185">
        <f t="shared" si="31"/>
        <v>0</v>
      </c>
      <c r="AO146" s="185">
        <f t="shared" si="32"/>
        <v>0</v>
      </c>
      <c r="AP146" s="185">
        <f t="shared" si="33"/>
        <v>0</v>
      </c>
      <c r="AQ146" s="185">
        <f t="shared" si="34"/>
        <v>0</v>
      </c>
      <c r="AR146" s="185">
        <f t="shared" si="35"/>
        <v>0</v>
      </c>
      <c r="AS146" s="185">
        <f t="shared" si="36"/>
        <v>0</v>
      </c>
      <c r="AT146" s="185">
        <f t="shared" si="37"/>
        <v>0</v>
      </c>
      <c r="AU146" s="185">
        <f t="shared" si="38"/>
        <v>0</v>
      </c>
      <c r="AV146" s="185">
        <f t="shared" si="39"/>
        <v>0</v>
      </c>
      <c r="AW146" s="185">
        <f t="shared" si="40"/>
        <v>0</v>
      </c>
      <c r="AX146" s="185">
        <f t="shared" si="41"/>
        <v>0</v>
      </c>
      <c r="AY146" s="185">
        <f t="shared" si="42"/>
        <v>0</v>
      </c>
      <c r="AZ146" s="185">
        <f t="shared" si="43"/>
        <v>0</v>
      </c>
      <c r="BA146" s="185">
        <f t="shared" si="44"/>
        <v>0</v>
      </c>
      <c r="BB146" s="185">
        <f t="shared" si="45"/>
        <v>0</v>
      </c>
      <c r="BC146" s="185">
        <f t="shared" si="46"/>
        <v>0</v>
      </c>
      <c r="BD146" s="185">
        <f t="shared" si="47"/>
        <v>0</v>
      </c>
      <c r="BE146" s="185">
        <f t="shared" si="48"/>
        <v>0</v>
      </c>
    </row>
    <row r="147" spans="1:57" s="90" customFormat="1" ht="15" hidden="1" customHeight="1" x14ac:dyDescent="0.25">
      <c r="A147" s="189" t="b">
        <v>1</v>
      </c>
      <c r="B147" s="190" t="b">
        <v>1</v>
      </c>
      <c r="C147" s="179" t="e">
        <f t="shared" si="28"/>
        <v>#N/A</v>
      </c>
      <c r="E147" s="180">
        <v>2118</v>
      </c>
      <c r="F147" s="100">
        <f t="shared" si="52"/>
        <v>135</v>
      </c>
      <c r="G147" s="181">
        <f>Pension_age-F147</f>
        <v>-65</v>
      </c>
      <c r="H147" s="181" t="e">
        <f t="shared" si="49"/>
        <v>#N/A</v>
      </c>
      <c r="J147" s="182">
        <v>0</v>
      </c>
      <c r="K147" s="101"/>
      <c r="L147" s="183" t="e">
        <f t="shared" si="50"/>
        <v>#N/A</v>
      </c>
      <c r="M147" s="184"/>
      <c r="N147" s="91"/>
      <c r="O147" s="91"/>
      <c r="P147" s="90">
        <v>0</v>
      </c>
      <c r="Q147" s="87">
        <v>1</v>
      </c>
      <c r="R147" s="185">
        <v>0</v>
      </c>
      <c r="S147" s="185">
        <v>0</v>
      </c>
      <c r="T147" s="185">
        <v>0</v>
      </c>
      <c r="U147" s="185">
        <v>0</v>
      </c>
      <c r="V147" s="182">
        <v>0</v>
      </c>
      <c r="W147" s="182">
        <v>0</v>
      </c>
      <c r="X147" s="182">
        <v>0</v>
      </c>
      <c r="Y147" s="182">
        <v>0</v>
      </c>
      <c r="Z147" s="182">
        <v>0</v>
      </c>
      <c r="AA147" s="182">
        <v>0</v>
      </c>
      <c r="AB147" s="182">
        <v>0</v>
      </c>
      <c r="AC147" s="182">
        <v>0</v>
      </c>
      <c r="AD147" s="182">
        <v>0</v>
      </c>
      <c r="AE147" s="182">
        <v>0</v>
      </c>
      <c r="AF147" s="182">
        <v>0</v>
      </c>
      <c r="AG147" s="182">
        <v>0</v>
      </c>
      <c r="AH147" s="182">
        <v>0</v>
      </c>
      <c r="AI147" s="182">
        <v>0</v>
      </c>
      <c r="AJ147" s="182">
        <v>0</v>
      </c>
      <c r="AL147" s="185">
        <f t="shared" si="51"/>
        <v>1</v>
      </c>
      <c r="AM147" s="185">
        <f t="shared" si="30"/>
        <v>0</v>
      </c>
      <c r="AN147" s="185">
        <f t="shared" si="31"/>
        <v>0</v>
      </c>
      <c r="AO147" s="185">
        <f t="shared" si="32"/>
        <v>0</v>
      </c>
      <c r="AP147" s="185">
        <f t="shared" si="33"/>
        <v>0</v>
      </c>
      <c r="AQ147" s="185">
        <f t="shared" si="34"/>
        <v>0</v>
      </c>
      <c r="AR147" s="185">
        <f t="shared" si="35"/>
        <v>0</v>
      </c>
      <c r="AS147" s="185">
        <f t="shared" si="36"/>
        <v>0</v>
      </c>
      <c r="AT147" s="185">
        <f t="shared" si="37"/>
        <v>0</v>
      </c>
      <c r="AU147" s="185">
        <f t="shared" si="38"/>
        <v>0</v>
      </c>
      <c r="AV147" s="185">
        <f t="shared" si="39"/>
        <v>0</v>
      </c>
      <c r="AW147" s="185">
        <f t="shared" si="40"/>
        <v>0</v>
      </c>
      <c r="AX147" s="185">
        <f t="shared" si="41"/>
        <v>0</v>
      </c>
      <c r="AY147" s="185">
        <f t="shared" si="42"/>
        <v>0</v>
      </c>
      <c r="AZ147" s="185">
        <f t="shared" si="43"/>
        <v>0</v>
      </c>
      <c r="BA147" s="185">
        <f t="shared" si="44"/>
        <v>0</v>
      </c>
      <c r="BB147" s="185">
        <f t="shared" si="45"/>
        <v>0</v>
      </c>
      <c r="BC147" s="185">
        <f t="shared" si="46"/>
        <v>0</v>
      </c>
      <c r="BD147" s="185">
        <f t="shared" si="47"/>
        <v>0</v>
      </c>
      <c r="BE147" s="185">
        <f t="shared" si="48"/>
        <v>0</v>
      </c>
    </row>
  </sheetData>
  <sheetProtection algorithmName="SHA-512" hashValue="zF063lmZ6Y/RNtPqY3Hde/d+zHpzRaPcT60G6P+ONE4IExqly0SebOupk0fCAeBE5+2OgtifNbdOB3j4Ep8hPg==" saltValue="YGDiXNfMDASfxlgKHrxm/w==" spinCount="100000" sheet="1" objects="1" scenarios="1" selectLockedCells="1"/>
  <mergeCells count="7">
    <mergeCell ref="L44:M44"/>
    <mergeCell ref="J44:J45"/>
    <mergeCell ref="F36:L36"/>
    <mergeCell ref="E9:M9"/>
    <mergeCell ref="Q39:U40"/>
    <mergeCell ref="J16:L16"/>
    <mergeCell ref="J17:L17"/>
  </mergeCells>
  <conditionalFormatting sqref="E47:AJ147">
    <cfRule type="expression" dxfId="107" priority="29">
      <formula>$G47&lt;0</formula>
    </cfRule>
  </conditionalFormatting>
  <conditionalFormatting sqref="Q47:AJ147">
    <cfRule type="expression" dxfId="106" priority="37">
      <formula>NOT($A47)</formula>
    </cfRule>
  </conditionalFormatting>
  <conditionalFormatting sqref="Q44:AJ147">
    <cfRule type="expression" dxfId="105" priority="30">
      <formula>Q$45&gt;NumberOfAssets</formula>
    </cfRule>
  </conditionalFormatting>
  <conditionalFormatting sqref="L47:L147">
    <cfRule type="expression" dxfId="104" priority="25">
      <formula>$G47&lt;0</formula>
    </cfRule>
  </conditionalFormatting>
  <conditionalFormatting sqref="M47:M147">
    <cfRule type="expression" dxfId="103" priority="18">
      <formula>$G47&lt;0</formula>
    </cfRule>
  </conditionalFormatting>
  <conditionalFormatting sqref="J19">
    <cfRule type="expression" dxfId="102" priority="41">
      <formula>(#REF!="")</formula>
    </cfRule>
  </conditionalFormatting>
  <conditionalFormatting sqref="F38:F39">
    <cfRule type="iconSet" priority="14">
      <iconSet iconSet="3Symbols2" showValue="0">
        <cfvo type="percent" val="0"/>
        <cfvo type="num" val="1"/>
        <cfvo type="num" val="1"/>
      </iconSet>
    </cfRule>
  </conditionalFormatting>
  <conditionalFormatting sqref="J47">
    <cfRule type="expression" dxfId="101" priority="13">
      <formula>$G47&lt;0</formula>
    </cfRule>
  </conditionalFormatting>
  <conditionalFormatting sqref="AL44:BE46">
    <cfRule type="expression" dxfId="100" priority="11">
      <formula>AL$45&gt;NumberOfAssets</formula>
    </cfRule>
  </conditionalFormatting>
  <conditionalFormatting sqref="J24:J25">
    <cfRule type="expression" dxfId="99" priority="62">
      <formula>NOT($B24)</formula>
    </cfRule>
  </conditionalFormatting>
  <conditionalFormatting sqref="L24">
    <cfRule type="expression" dxfId="98" priority="8">
      <formula>NOT($B24)</formula>
    </cfRule>
  </conditionalFormatting>
  <conditionalFormatting sqref="L25">
    <cfRule type="expression" dxfId="97" priority="7">
      <formula>NOT($B25)</formula>
    </cfRule>
  </conditionalFormatting>
  <conditionalFormatting sqref="AL47:BE147">
    <cfRule type="expression" dxfId="96" priority="3">
      <formula>$G47&lt;0</formula>
    </cfRule>
    <cfRule type="expression" dxfId="95" priority="4">
      <formula>AL$45&gt;NumberOfAssets</formula>
    </cfRule>
    <cfRule type="expression" dxfId="94" priority="5">
      <formula>NOT($B47)</formula>
    </cfRule>
  </conditionalFormatting>
  <conditionalFormatting sqref="AL47:BE47">
    <cfRule type="expression" dxfId="93" priority="1">
      <formula>$G47&lt;0</formula>
    </cfRule>
  </conditionalFormatting>
  <dataValidations xWindow="925" yWindow="554" count="13">
    <dataValidation type="decimal" showInputMessage="1" showErrorMessage="1" errorTitle="Incorrect asset weight" error="The value should be between 0% and 100%." promptTitle="Asset weight" prompt="Asset weight is the proportion of total pension savings invested in the asset._x000a__x000a_The value should be between 0% and 100%. The value over all assets should add up to 100%" sqref="AL47:BE147 Q47:AJ147">
      <formula1>0</formula1>
      <formula2>1</formula2>
    </dataValidation>
    <dataValidation type="decimal" allowBlank="1" showErrorMessage="1" errorTitle="Incorrect contribution rate" error="Incorrect value for the contribution rate._x000a__x000a_The contribution rate should be between 0% and 100%" promptTitle="Test" prompt="bla bla" sqref="J48:K147 J47">
      <formula1>0</formula1>
      <formula2>1</formula2>
    </dataValidation>
    <dataValidation type="decimal" allowBlank="1" showInputMessage="1" showErrorMessage="1" errorTitle="Incorrect contribution rate" error="Incorrect value for the contribution rate._x000a__x000a_The contribution rate should be between 0% and 100%" promptTitle="Enter contribution rate" prompt="Contribution rate should be between 0% and 100%" sqref="M83:M147 K47">
      <formula1>0</formula1>
      <formula2>1</formula2>
    </dataValidation>
    <dataValidation type="whole" showInputMessage="1" showErrorMessage="1" errorTitle="Incorrect pension age" error="Pension age should be between 50 and 80 years." promptTitle="Pension age" prompt="Set pension age according to best estimate. It should be between 50 and 80" sqref="J13">
      <formula1>J12+18</formula1>
      <formula2>80</formula2>
    </dataValidation>
    <dataValidation allowBlank="1" showInputMessage="1" showErrorMessage="1" promptTitle="Product name" prompt="Provide a descriptive product name or DC-fund name." sqref="J16"/>
    <dataValidation allowBlank="1" showInputMessage="1" showErrorMessage="1" promptTitle="Profile name (Optional)" prompt="Provide a profile name for identification purposes in case your DC plan features different investment profiles" sqref="J17"/>
    <dataValidation type="decimal" operator="greaterThanOrEqual" showInputMessage="1" showErrorMessage="1" errorTitle="Incorrect current pension wealth" error="Value must be non-negative." promptTitle="Current pension wealth" prompt="Provide a best estimate of pension wealth that representative for  this member. _x000a_" sqref="J21">
      <formula1>0</formula1>
    </dataValidation>
    <dataValidation allowBlank="1" errorTitle="Incorrect contribution rate" error="Incorrect value for the contribution rate._x000a__x000a_The contribution rate should be between 0% and 100%" promptTitle="Enter contribution rate" prompt="Contribution rate should be between 0% and 100%" sqref="L47:L147"/>
    <dataValidation type="decimal" operator="greaterThan" showInputMessage="1" showErrorMessage="1" errorTitle="Incorrect floor level" error="Floor level must be a non-negative number." promptTitle="Pensionable income floor level" prompt="Pensionable income is salary above this floor level.  Floor is assumed to grow with either price or wage inflation to be set by the user._x000a__x000a_Note: contributions are only paid over pensionable income" sqref="J24">
      <formula1>0</formula1>
    </dataValidation>
    <dataValidation type="decimal" operator="greaterThanOrEqual" showInputMessage="1" showErrorMessage="1" errorTitle="Incorrect current wage" error="Value must be non-negative" promptTitle="Current wage" prompt="Provide an estimate of the current level of gross annual earnings that best represent your member population." sqref="J19">
      <formula1>0</formula1>
    </dataValidation>
    <dataValidation type="decimal" operator="greaterThan" showInputMessage="1" showErrorMessage="1" errorTitle="Incorrect floor level" error="Floor level must be a non-negative number." promptTitle="Pensionable income cap level" prompt="Pensionable income is salary below this cap level.  Cap is assumed to grow with either price or wage inflation to be set by the user._x000a__x000a_Note: contributions are only paid over pensionable income" sqref="J25">
      <formula1>0</formula1>
    </dataValidation>
    <dataValidation type="decimal" allowBlank="1" showInputMessage="1" showErrorMessage="1" errorTitle="Incorrect salary growth" error="Incorrect value for the salary growth._x000a__x000a_The salary growth should be between -100% and 100%" promptTitle="Enter salary growth" prompt="Career salary growth should be between -100% and 100%" sqref="M47:M82">
      <formula1>-1</formula1>
      <formula2>1</formula2>
    </dataValidation>
    <dataValidation type="list" allowBlank="1" showInputMessage="1" showErrorMessage="1" sqref="L24:L25">
      <formula1>"Price, Wage"</formula1>
    </dataValidation>
  </dataValidations>
  <pageMargins left="0.7" right="0.7" top="0.75" bottom="0.75" header="0.3" footer="0.3"/>
  <pageSetup orientation="portrait" r:id="rId1"/>
  <ignoredErrors>
    <ignoredError sqref="AL48:BE147"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7415" r:id="rId4" name="chkPensionBaseFloor">
              <controlPr defaultSize="0" autoFill="0" autoLine="0" autoPict="0">
                <anchor moveWithCells="1">
                  <from>
                    <xdr:col>7</xdr:col>
                    <xdr:colOff>1143000</xdr:colOff>
                    <xdr:row>22</xdr:row>
                    <xdr:rowOff>342900</xdr:rowOff>
                  </from>
                  <to>
                    <xdr:col>8</xdr:col>
                    <xdr:colOff>276225</xdr:colOff>
                    <xdr:row>24</xdr:row>
                    <xdr:rowOff>0</xdr:rowOff>
                  </to>
                </anchor>
              </controlPr>
            </control>
          </mc:Choice>
        </mc:AlternateContent>
        <mc:AlternateContent xmlns:mc="http://schemas.openxmlformats.org/markup-compatibility/2006">
          <mc:Choice Requires="x14">
            <control shapeId="17417" r:id="rId5" name="chkPensionBaseCap">
              <controlPr defaultSize="0" autoFill="0" autoLine="0" autoPict="0">
                <anchor moveWithCells="1">
                  <from>
                    <xdr:col>7</xdr:col>
                    <xdr:colOff>1143000</xdr:colOff>
                    <xdr:row>23</xdr:row>
                    <xdr:rowOff>161925</xdr:rowOff>
                  </from>
                  <to>
                    <xdr:col>9</xdr:col>
                    <xdr:colOff>0</xdr:colOff>
                    <xdr:row>25</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iconSet" priority="15" id="{9A99BF98-9E93-4F4A-BB91-BD9C1E616325}">
            <x14:iconSet iconSet="3Symbols2" showValue="0" custom="1">
              <x14:cfvo type="percent">
                <xm:f>0</xm:f>
              </x14:cfvo>
              <x14:cfvo type="num">
                <xm:f>0</xm:f>
              </x14:cfvo>
              <x14:cfvo type="num">
                <xm:f>1</xm:f>
              </x14:cfvo>
              <x14:cfIcon iconSet="NoIcons" iconId="0"/>
              <x14:cfIcon iconSet="NoIcons" iconId="0"/>
              <x14:cfIcon iconSet="3Symbols2" iconId="0"/>
            </x14:iconSet>
          </x14:cfRule>
          <xm:sqref>P47:P147</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48</Value>
    </TaxCatchAll>
    <Publication_x0020_Date xmlns="2b395ac2-8163-4b1c-b2c0-fcf6a8d6604b" xsi:nil="true"/>
    <b687f5c370784be381b55f490b18f6b4 xmlns="46cf5d05-017c-4f03-b1f6-893edf8c1825" xsi:nil="true"/>
    <StartDate xmlns="http://schemas.microsoft.com/sharepoint/v3">2019-04-01T08:07:00+00:00</StartDate>
    <e3b8259dbd224628b8b94cebb83fde6b xmlns="46cf5d05-017c-4f03-b1f6-893edf8c1825" xsi:nil="true"/>
    <m4e5b9a57ee34142859f8aa69e31e7bd xmlns="46cf5d05-017c-4f03-b1f6-893edf8c18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06FDB9-9E77-4A03-95AB-28D22FD6E5C9}">
  <ds:schemaRefs>
    <ds:schemaRef ds:uri="2b395ac2-8163-4b1c-b2c0-fcf6a8d6604b"/>
    <ds:schemaRef ds:uri="http://purl.org/dc/terms/"/>
    <ds:schemaRef ds:uri="46cf5d05-017c-4f03-b1f6-893edf8c1825"/>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schemas.microsoft.com/sharepoint/v3"/>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31C21565-42A2-4158-B17B-78DD0688D0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6cf5d05-017c-4f03-b1f6-893edf8c1825"/>
    <ds:schemaRef ds:uri="2b395ac2-8163-4b1c-b2c0-fcf6a8d660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7BCE92-42E5-47C1-A757-71635787DE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469</vt:i4>
      </vt:variant>
    </vt:vector>
  </HeadingPairs>
  <TitlesOfParts>
    <vt:vector size="487" baseType="lpstr">
      <vt:lpstr>Development</vt:lpstr>
      <vt:lpstr>Worksheets Overview</vt:lpstr>
      <vt:lpstr>Settings</vt:lpstr>
      <vt:lpstr>1. Make reports</vt:lpstr>
      <vt:lpstr>1. Instructions</vt:lpstr>
      <vt:lpstr>2. Participating IORP</vt:lpstr>
      <vt:lpstr>3.1. Product specifications</vt:lpstr>
      <vt:lpstr>3.2. Asset menu</vt:lpstr>
      <vt:lpstr>4.1. Member 35y YTR</vt:lpstr>
      <vt:lpstr>4.2. Member 20y YTR</vt:lpstr>
      <vt:lpstr>4.3. Member 5y YTR</vt:lpstr>
      <vt:lpstr>5. Questionnaire</vt:lpstr>
      <vt:lpstr>6. Complete exercise</vt:lpstr>
      <vt:lpstr>6.1 Simulation outcome tables</vt:lpstr>
      <vt:lpstr>7.1 Report Member 35y YTR</vt:lpstr>
      <vt:lpstr>7.2 Report Member 20y YTR</vt:lpstr>
      <vt:lpstr>7.3 Report Member 5y YTR</vt:lpstr>
      <vt:lpstr>Career</vt:lpstr>
      <vt:lpstr>ActiveContributionScaleFactor</vt:lpstr>
      <vt:lpstr>ActiveIncludeCosts</vt:lpstr>
      <vt:lpstr>ActiveLifeExpScenario</vt:lpstr>
      <vt:lpstr>ActiveLifeExpScenarioNo</vt:lpstr>
      <vt:lpstr>ActiveMarketScenarioName</vt:lpstr>
      <vt:lpstr>ActiveMarketScenarioNo</vt:lpstr>
      <vt:lpstr>ActiveMarketScenarioSheet</vt:lpstr>
      <vt:lpstr>ActiveMemberNo</vt:lpstr>
      <vt:lpstr>ActiveMemberSheet</vt:lpstr>
      <vt:lpstr>ActivePensionAgeAdjustment</vt:lpstr>
      <vt:lpstr>ActiveSimulation</vt:lpstr>
      <vt:lpstr>AdminCostFixed</vt:lpstr>
      <vt:lpstr>AdminCostOfContribution</vt:lpstr>
      <vt:lpstr>AdminCostOfFinalWealth</vt:lpstr>
      <vt:lpstr>AdminCostOfWealth</vt:lpstr>
      <vt:lpstr>'4.1. Member 35y YTR'!Age</vt:lpstr>
      <vt:lpstr>'4.2. Member 20y YTR'!Age</vt:lpstr>
      <vt:lpstr>'4.3. Member 5y YTR'!Age</vt:lpstr>
      <vt:lpstr>'7.1 Report Member 35y YTR'!Alternatives</vt:lpstr>
      <vt:lpstr>'7.2 Report Member 20y YTR'!Alternatives</vt:lpstr>
      <vt:lpstr>'7.3 Report Member 5y YTR'!Alternatives</vt:lpstr>
      <vt:lpstr>'3.2. Asset menu'!AreaInputFields</vt:lpstr>
      <vt:lpstr>'3.2. Asset menu'!AssetSpecs</vt:lpstr>
      <vt:lpstr>'3.2. Asset menu'!AssetTypes</vt:lpstr>
      <vt:lpstr>'4.1. Member 35y YTR'!AssetWeightsAdverse</vt:lpstr>
      <vt:lpstr>'4.2. Member 20y YTR'!AssetWeightsAdverse</vt:lpstr>
      <vt:lpstr>'4.3. Member 5y YTR'!AssetWeightsAdverse</vt:lpstr>
      <vt:lpstr>'4.1. Member 35y YTR'!AssetWeightsBaseline</vt:lpstr>
      <vt:lpstr>'4.2. Member 20y YTR'!AssetWeightsBaseline</vt:lpstr>
      <vt:lpstr>'4.3. Member 5y YTR'!AssetWeightsBaseline</vt:lpstr>
      <vt:lpstr>AverageWages</vt:lpstr>
      <vt:lpstr>CareerAge</vt:lpstr>
      <vt:lpstr>CareerCountries</vt:lpstr>
      <vt:lpstr>'4.1. Member 35y YTR'!CareerWageGrowth</vt:lpstr>
      <vt:lpstr>'4.2. Member 20y YTR'!CareerWageGrowth</vt:lpstr>
      <vt:lpstr>'4.3. Member 5y YTR'!CareerWageGrowth</vt:lpstr>
      <vt:lpstr>CareerWageGrowthData</vt:lpstr>
      <vt:lpstr>'7.1 Report Member 35y YTR'!Cash_and_Deposits</vt:lpstr>
      <vt:lpstr>'7.2 Report Member 20y YTR'!Cash_and_Deposits</vt:lpstr>
      <vt:lpstr>'7.3 Report Member 5y YTR'!Cash_and_Deposits</vt:lpstr>
      <vt:lpstr>'7.1 Report Member 35y YTR'!Commodities</vt:lpstr>
      <vt:lpstr>'7.2 Report Member 20y YTR'!Commodities</vt:lpstr>
      <vt:lpstr>'7.3 Report Member 5y YTR'!Commodities</vt:lpstr>
      <vt:lpstr>'4.1. Member 35y YTR'!Contribution_rate</vt:lpstr>
      <vt:lpstr>'4.2. Member 20y YTR'!Contribution_rate</vt:lpstr>
      <vt:lpstr>'4.3. Member 5y YTR'!Contribution_rate</vt:lpstr>
      <vt:lpstr>'7.1 Report Member 35y YTR'!Corporate_Bond_Fund</vt:lpstr>
      <vt:lpstr>'7.2 Report Member 20y YTR'!Corporate_Bond_Fund</vt:lpstr>
      <vt:lpstr>'7.3 Report Member 5y YTR'!Corporate_Bond_Fund</vt:lpstr>
      <vt:lpstr>Countries</vt:lpstr>
      <vt:lpstr>Country</vt:lpstr>
      <vt:lpstr>CountryAbbrev</vt:lpstr>
      <vt:lpstr>'3.2. Asset menu'!Criteria</vt:lpstr>
      <vt:lpstr>Currency</vt:lpstr>
      <vt:lpstr>'3.2. Asset menu'!CurrentAssetClass</vt:lpstr>
      <vt:lpstr>'3.2. Asset menu'!CurrentAssetName</vt:lpstr>
      <vt:lpstr>'3.2. Asset menu'!CurrentAssetNo</vt:lpstr>
      <vt:lpstr>'3.2. Asset menu'!CurrentBeta_Bond</vt:lpstr>
      <vt:lpstr>'3.2. Asset menu'!CurrentBeta_Commodities</vt:lpstr>
      <vt:lpstr>'3.2. Asset menu'!CurrentBeta_Equity_Emerging_Market</vt:lpstr>
      <vt:lpstr>'3.2. Asset menu'!CurrentBeta_Equity_Europe</vt:lpstr>
      <vt:lpstr>'3.2. Asset menu'!CurrentBeta_Equity_US</vt:lpstr>
      <vt:lpstr>'3.2. Asset menu'!CurrentBeta_Hedge_Funds</vt:lpstr>
      <vt:lpstr>'3.2. Asset menu'!CurrentBeta_Private_Equity</vt:lpstr>
      <vt:lpstr>'3.2. Asset menu'!CurrentBeta_Real_Estate_Europe</vt:lpstr>
      <vt:lpstr>'3.2. Asset menu'!CurrentBeta_Real_Estate_Global</vt:lpstr>
      <vt:lpstr>'3.2. Asset menu'!CurrentCurrency</vt:lpstr>
      <vt:lpstr>'3.2. Asset menu'!CurrentDescription</vt:lpstr>
      <vt:lpstr>'3.2. Asset menu'!CurrentDuration</vt:lpstr>
      <vt:lpstr>'3.2. Asset menu'!CurrentInflationLinked</vt:lpstr>
      <vt:lpstr>'3.2. Asset menu'!CurrentInvestmentCosts</vt:lpstr>
      <vt:lpstr>'3.2. Asset menu'!CurrentSpread</vt:lpstr>
      <vt:lpstr>'3.2. Asset menu'!CurrentType</vt:lpstr>
      <vt:lpstr>'4.1. Member 35y YTR'!CurrentYearsToRetirement</vt:lpstr>
      <vt:lpstr>'4.2. Member 20y YTR'!CurrentYearsToRetirement</vt:lpstr>
      <vt:lpstr>'4.3. Member 5y YTR'!CurrentYearsToRetirement</vt:lpstr>
      <vt:lpstr>DCStressWorkbookType</vt:lpstr>
      <vt:lpstr>DCStressWorkbookVersion</vt:lpstr>
      <vt:lpstr>'1. Instructions'!DCStressWorksheetType</vt:lpstr>
      <vt:lpstr>'1. Make reports'!DCStressWorksheetType</vt:lpstr>
      <vt:lpstr>'2. Participating IORP'!DCStressWorksheetType</vt:lpstr>
      <vt:lpstr>'3.1. Product specifications'!DCStressWorksheetType</vt:lpstr>
      <vt:lpstr>'3.2. Asset menu'!DCStressWorksheetType</vt:lpstr>
      <vt:lpstr>'4.1. Member 35y YTR'!DCStressWorksheetType</vt:lpstr>
      <vt:lpstr>'4.2. Member 20y YTR'!DCStressWorksheetType</vt:lpstr>
      <vt:lpstr>'4.3. Member 5y YTR'!DCStressWorksheetType</vt:lpstr>
      <vt:lpstr>'5. Questionnaire'!DCStressWorksheetType</vt:lpstr>
      <vt:lpstr>'6. Complete exercise'!DCStressWorksheetType</vt:lpstr>
      <vt:lpstr>'6.1 Simulation outcome tables'!DCStressWorksheetType</vt:lpstr>
      <vt:lpstr>'7.1 Report Member 35y YTR'!DCStressWorksheetType</vt:lpstr>
      <vt:lpstr>'7.2 Report Member 20y YTR'!DCStressWorksheetType</vt:lpstr>
      <vt:lpstr>'7.3 Report Member 5y YTR'!DCStressWorksheetType</vt:lpstr>
      <vt:lpstr>Career!DCStressWorksheetType</vt:lpstr>
      <vt:lpstr>Development!DCStressWorksheetType</vt:lpstr>
      <vt:lpstr>Settings!DCStressWorksheetType</vt:lpstr>
      <vt:lpstr>'Worksheets Overview'!DCStressWorksheetType</vt:lpstr>
      <vt:lpstr>'1. Instructions'!DCStressWorksheetVersion</vt:lpstr>
      <vt:lpstr>'1. Make reports'!DCStressWorksheetVersion</vt:lpstr>
      <vt:lpstr>'2. Participating IORP'!DCStressWorksheetVersion</vt:lpstr>
      <vt:lpstr>'3.1. Product specifications'!DCStressWorksheetVersion</vt:lpstr>
      <vt:lpstr>'3.2. Asset menu'!DCStressWorksheetVersion</vt:lpstr>
      <vt:lpstr>'4.1. Member 35y YTR'!DCStressWorksheetVersion</vt:lpstr>
      <vt:lpstr>'4.2. Member 20y YTR'!DCStressWorksheetVersion</vt:lpstr>
      <vt:lpstr>'4.3. Member 5y YTR'!DCStressWorksheetVersion</vt:lpstr>
      <vt:lpstr>'5. Questionnaire'!DCStressWorksheetVersion</vt:lpstr>
      <vt:lpstr>'6. Complete exercise'!DCStressWorksheetVersion</vt:lpstr>
      <vt:lpstr>'6.1 Simulation outcome tables'!DCStressWorksheetVersion</vt:lpstr>
      <vt:lpstr>'7.1 Report Member 35y YTR'!DCStressWorksheetVersion</vt:lpstr>
      <vt:lpstr>'7.2 Report Member 20y YTR'!DCStressWorksheetVersion</vt:lpstr>
      <vt:lpstr>'7.3 Report Member 5y YTR'!DCStressWorksheetVersion</vt:lpstr>
      <vt:lpstr>Career!DCStressWorksheetVersion</vt:lpstr>
      <vt:lpstr>Development!DCStressWorksheetVersion</vt:lpstr>
      <vt:lpstr>Settings!DCStressWorksheetVersion</vt:lpstr>
      <vt:lpstr>'Worksheets Overview'!DCStressWorksheetVersion</vt:lpstr>
      <vt:lpstr>'7.1 Report Member 35y YTR'!DrawDownInc_Baseline</vt:lpstr>
      <vt:lpstr>'7.2 Report Member 20y YTR'!DrawDownInc_Baseline</vt:lpstr>
      <vt:lpstr>'7.3 Report Member 5y YTR'!DrawDownInc_Baseline</vt:lpstr>
      <vt:lpstr>'7.1 Report Member 35y YTR'!DrawDownInc_Baseline_NC</vt:lpstr>
      <vt:lpstr>'7.2 Report Member 20y YTR'!DrawDownInc_Baseline_NC</vt:lpstr>
      <vt:lpstr>'7.3 Report Member 5y YTR'!DrawDownInc_Baseline_NC</vt:lpstr>
      <vt:lpstr>'7.1 Report Member 35y YTR'!DrawDownInc_Baseline_NC_Dif</vt:lpstr>
      <vt:lpstr>'7.2 Report Member 20y YTR'!DrawDownInc_Baseline_NC_Dif</vt:lpstr>
      <vt:lpstr>'7.3 Report Member 5y YTR'!DrawDownInc_Baseline_NC_Dif</vt:lpstr>
      <vt:lpstr>'7.1 Report Member 35y YTR'!DrawDownInc_Baseline_NC_DifContr</vt:lpstr>
      <vt:lpstr>'7.2 Report Member 20y YTR'!DrawDownInc_Baseline_NC_DifContr</vt:lpstr>
      <vt:lpstr>'7.3 Report Member 5y YTR'!DrawDownInc_Baseline_NC_DifContr</vt:lpstr>
      <vt:lpstr>'7.1 Report Member 35y YTR'!DrawDownInc_Baseline_NC_DifPA</vt:lpstr>
      <vt:lpstr>'7.2 Report Member 20y YTR'!DrawDownInc_Baseline_NC_DifPA</vt:lpstr>
      <vt:lpstr>'7.3 Report Member 5y YTR'!DrawDownInc_Baseline_NC_DifPA</vt:lpstr>
      <vt:lpstr>'7.1 Report Member 35y YTR'!DrawDownInc_Shock1</vt:lpstr>
      <vt:lpstr>'7.2 Report Member 20y YTR'!DrawDownInc_Shock1</vt:lpstr>
      <vt:lpstr>'7.3 Report Member 5y YTR'!DrawDownInc_Shock1</vt:lpstr>
      <vt:lpstr>'7.1 Report Member 35y YTR'!DrawDownInc_Shock1_Dif</vt:lpstr>
      <vt:lpstr>'7.2 Report Member 20y YTR'!DrawDownInc_Shock1_Dif</vt:lpstr>
      <vt:lpstr>'7.3 Report Member 5y YTR'!DrawDownInc_Shock1_Dif</vt:lpstr>
      <vt:lpstr>'7.1 Report Member 35y YTR'!DrawDownInc_Shock1_DifContr</vt:lpstr>
      <vt:lpstr>'7.2 Report Member 20y YTR'!DrawDownInc_Shock1_DifContr</vt:lpstr>
      <vt:lpstr>'7.3 Report Member 5y YTR'!DrawDownInc_Shock1_DifContr</vt:lpstr>
      <vt:lpstr>'7.1 Report Member 35y YTR'!DrawDownInc_Shock1_DifPA</vt:lpstr>
      <vt:lpstr>'7.2 Report Member 20y YTR'!DrawDownInc_Shock1_DifPA</vt:lpstr>
      <vt:lpstr>'7.3 Report Member 5y YTR'!DrawDownInc_Shock1_DifPA</vt:lpstr>
      <vt:lpstr>'7.1 Report Member 35y YTR'!DrawDownRepRate_Baseline</vt:lpstr>
      <vt:lpstr>'7.2 Report Member 20y YTR'!DrawDownRepRate_Baseline</vt:lpstr>
      <vt:lpstr>'7.3 Report Member 5y YTR'!DrawDownRepRate_Baseline</vt:lpstr>
      <vt:lpstr>'7.1 Report Member 35y YTR'!DrawDownRepRate_Baseline_NC</vt:lpstr>
      <vt:lpstr>'7.2 Report Member 20y YTR'!DrawDownRepRate_Baseline_NC</vt:lpstr>
      <vt:lpstr>'7.3 Report Member 5y YTR'!DrawDownRepRate_Baseline_NC</vt:lpstr>
      <vt:lpstr>'7.1 Report Member 35y YTR'!DrawDownRepRate_Baseline_NC_Dif</vt:lpstr>
      <vt:lpstr>'7.2 Report Member 20y YTR'!DrawDownRepRate_Baseline_NC_Dif</vt:lpstr>
      <vt:lpstr>'7.3 Report Member 5y YTR'!DrawDownRepRate_Baseline_NC_Dif</vt:lpstr>
      <vt:lpstr>'7.1 Report Member 35y YTR'!DrawDownRepRate_Baseline_NC_DifContr</vt:lpstr>
      <vt:lpstr>'7.2 Report Member 20y YTR'!DrawDownRepRate_Baseline_NC_DifContr</vt:lpstr>
      <vt:lpstr>'7.3 Report Member 5y YTR'!DrawDownRepRate_Baseline_NC_DifContr</vt:lpstr>
      <vt:lpstr>'7.1 Report Member 35y YTR'!DrawDownRepRate_Baseline_NC_DifPA</vt:lpstr>
      <vt:lpstr>'7.2 Report Member 20y YTR'!DrawDownRepRate_Baseline_NC_DifPA</vt:lpstr>
      <vt:lpstr>'7.3 Report Member 5y YTR'!DrawDownRepRate_Baseline_NC_DifPA</vt:lpstr>
      <vt:lpstr>'7.1 Report Member 35y YTR'!DrawDownRepRate_Shock1</vt:lpstr>
      <vt:lpstr>'7.2 Report Member 20y YTR'!DrawDownRepRate_Shock1</vt:lpstr>
      <vt:lpstr>'7.3 Report Member 5y YTR'!DrawDownRepRate_Shock1</vt:lpstr>
      <vt:lpstr>'7.1 Report Member 35y YTR'!DrawDownRepRate_Shock1_Dif</vt:lpstr>
      <vt:lpstr>'7.2 Report Member 20y YTR'!DrawDownRepRate_Shock1_Dif</vt:lpstr>
      <vt:lpstr>'7.3 Report Member 5y YTR'!DrawDownRepRate_Shock1_Dif</vt:lpstr>
      <vt:lpstr>'7.1 Report Member 35y YTR'!DrawDownRepRate_Shock1_DifContr</vt:lpstr>
      <vt:lpstr>'7.2 Report Member 20y YTR'!DrawDownRepRate_Shock1_DifContr</vt:lpstr>
      <vt:lpstr>'7.3 Report Member 5y YTR'!DrawDownRepRate_Shock1_DifContr</vt:lpstr>
      <vt:lpstr>'7.1 Report Member 35y YTR'!DrawDownRepRate_Shock1_DifPA</vt:lpstr>
      <vt:lpstr>'7.2 Report Member 20y YTR'!DrawDownRepRate_Shock1_DifPA</vt:lpstr>
      <vt:lpstr>'7.3 Report Member 5y YTR'!DrawDownRepRate_Shock1_DifPA</vt:lpstr>
      <vt:lpstr>'3.2. Asset menu'!DurationField</vt:lpstr>
      <vt:lpstr>'7.1 Report Member 35y YTR'!Equities</vt:lpstr>
      <vt:lpstr>'7.2 Report Member 20y YTR'!Equities</vt:lpstr>
      <vt:lpstr>'7.3 Report Member 5y YTR'!Equities</vt:lpstr>
      <vt:lpstr>'7.1 Report Member 35y YTR'!Equities_Developed_Markets</vt:lpstr>
      <vt:lpstr>'7.2 Report Member 20y YTR'!Equities_Developed_Markets</vt:lpstr>
      <vt:lpstr>'7.3 Report Member 5y YTR'!Equities_Developed_Markets</vt:lpstr>
      <vt:lpstr>'7.1 Report Member 35y YTR'!Equities_Emerging_Markets</vt:lpstr>
      <vt:lpstr>'7.2 Report Member 20y YTR'!Equities_Emerging_Markets</vt:lpstr>
      <vt:lpstr>'7.3 Report Member 5y YTR'!Equities_Emerging_Markets</vt:lpstr>
      <vt:lpstr>'7.1 Report Member 35y YTR'!Equities_Europe</vt:lpstr>
      <vt:lpstr>'7.2 Report Member 20y YTR'!Equities_Europe</vt:lpstr>
      <vt:lpstr>'7.3 Report Member 5y YTR'!Equities_Europe</vt:lpstr>
      <vt:lpstr>'7.1 Report Member 35y YTR'!Equities_Other_Developed_Markets__non_EU_US</vt:lpstr>
      <vt:lpstr>'7.2 Report Member 20y YTR'!Equities_Other_Developed_Markets__non_EU_US</vt:lpstr>
      <vt:lpstr>'7.3 Report Member 5y YTR'!Equities_Other_Developed_Markets__non_EU_US</vt:lpstr>
      <vt:lpstr>'7.1 Report Member 35y YTR'!Equities_US</vt:lpstr>
      <vt:lpstr>'7.2 Report Member 20y YTR'!Equities_US</vt:lpstr>
      <vt:lpstr>'7.3 Report Member 5y YTR'!Equities_US</vt:lpstr>
      <vt:lpstr>Equity_exposure_programmed_withdrawal</vt:lpstr>
      <vt:lpstr>'Worksheets Overview'!Extract</vt:lpstr>
      <vt:lpstr>FilenamePrefix</vt:lpstr>
      <vt:lpstr>fileversion</vt:lpstr>
      <vt:lpstr>'7.1 Report Member 35y YTR'!FinalSalary_Baseline</vt:lpstr>
      <vt:lpstr>'7.2 Report Member 20y YTR'!FinalSalary_Baseline</vt:lpstr>
      <vt:lpstr>'7.3 Report Member 5y YTR'!FinalSalary_Baseline</vt:lpstr>
      <vt:lpstr>'7.1 Report Member 35y YTR'!FinalSalary_Shock1</vt:lpstr>
      <vt:lpstr>'7.2 Report Member 20y YTR'!FinalSalary_Shock1</vt:lpstr>
      <vt:lpstr>'7.3 Report Member 5y YTR'!FinalSalary_Shock1</vt:lpstr>
      <vt:lpstr>'7.1 Report Member 35y YTR'!FinalSalary_Shock1_Dif</vt:lpstr>
      <vt:lpstr>'7.2 Report Member 20y YTR'!FinalSalary_Shock1_Dif</vt:lpstr>
      <vt:lpstr>'7.3 Report Member 5y YTR'!FinalSalary_Shock1_Dif</vt:lpstr>
      <vt:lpstr>'7.1 Report Member 35y YTR'!Fixed_income</vt:lpstr>
      <vt:lpstr>'7.2 Report Member 20y YTR'!Fixed_income</vt:lpstr>
      <vt:lpstr>'7.3 Report Member 5y YTR'!Fixed_income</vt:lpstr>
      <vt:lpstr>'7.1 Report Member 35y YTR'!Government_Bond_Fund</vt:lpstr>
      <vt:lpstr>'7.2 Report Member 20y YTR'!Government_Bond_Fund</vt:lpstr>
      <vt:lpstr>'7.3 Report Member 5y YTR'!Government_Bond_Fund</vt:lpstr>
      <vt:lpstr>'7.1 Report Member 35y YTR'!Government_Bond_Fund_EU</vt:lpstr>
      <vt:lpstr>'7.2 Report Member 20y YTR'!Government_Bond_Fund_EU</vt:lpstr>
      <vt:lpstr>'7.3 Report Member 5y YTR'!Government_Bond_Fund_EU</vt:lpstr>
      <vt:lpstr>'7.1 Report Member 35y YTR'!Government_Bond_Fund_Non_EU</vt:lpstr>
      <vt:lpstr>'7.2 Report Member 20y YTR'!Government_Bond_Fund_Non_EU</vt:lpstr>
      <vt:lpstr>'7.3 Report Member 5y YTR'!Government_Bond_Fund_Non_EU</vt:lpstr>
      <vt:lpstr>'7.1 Report Member 35y YTR'!Hedge_Funds</vt:lpstr>
      <vt:lpstr>'7.2 Report Member 20y YTR'!Hedge_Funds</vt:lpstr>
      <vt:lpstr>'7.3 Report Member 5y YTR'!Hedge_Funds</vt:lpstr>
      <vt:lpstr>'7.1 Report Member 35y YTR'!ILAnnuityInc_Baseline</vt:lpstr>
      <vt:lpstr>'7.2 Report Member 20y YTR'!ILAnnuityInc_Baseline</vt:lpstr>
      <vt:lpstr>'7.3 Report Member 5y YTR'!ILAnnuityInc_Baseline</vt:lpstr>
      <vt:lpstr>'7.1 Report Member 35y YTR'!ILAnnuityInc_Baseline_NC</vt:lpstr>
      <vt:lpstr>'7.2 Report Member 20y YTR'!ILAnnuityInc_Baseline_NC</vt:lpstr>
      <vt:lpstr>'7.3 Report Member 5y YTR'!ILAnnuityInc_Baseline_NC</vt:lpstr>
      <vt:lpstr>'7.1 Report Member 35y YTR'!ILAnnuityInc_Baseline_NC_Dif</vt:lpstr>
      <vt:lpstr>'7.2 Report Member 20y YTR'!ILAnnuityInc_Baseline_NC_Dif</vt:lpstr>
      <vt:lpstr>'7.3 Report Member 5y YTR'!ILAnnuityInc_Baseline_NC_Dif</vt:lpstr>
      <vt:lpstr>'7.1 Report Member 35y YTR'!ILAnnuityInc_Baseline_NC_DifContr</vt:lpstr>
      <vt:lpstr>'7.2 Report Member 20y YTR'!ILAnnuityInc_Baseline_NC_DifContr</vt:lpstr>
      <vt:lpstr>'7.3 Report Member 5y YTR'!ILAnnuityInc_Baseline_NC_DifContr</vt:lpstr>
      <vt:lpstr>'7.1 Report Member 35y YTR'!ILAnnuityInc_Baseline_NC_DifPA</vt:lpstr>
      <vt:lpstr>'7.2 Report Member 20y YTR'!ILAnnuityInc_Baseline_NC_DifPA</vt:lpstr>
      <vt:lpstr>'7.3 Report Member 5y YTR'!ILAnnuityInc_Baseline_NC_DifPA</vt:lpstr>
      <vt:lpstr>'7.1 Report Member 35y YTR'!ILAnnuityInc_Shock1</vt:lpstr>
      <vt:lpstr>'7.2 Report Member 20y YTR'!ILAnnuityInc_Shock1</vt:lpstr>
      <vt:lpstr>'7.3 Report Member 5y YTR'!ILAnnuityInc_Shock1</vt:lpstr>
      <vt:lpstr>'7.1 Report Member 35y YTR'!ILAnnuityInc_Shock1_Dif</vt:lpstr>
      <vt:lpstr>'7.2 Report Member 20y YTR'!ILAnnuityInc_Shock1_Dif</vt:lpstr>
      <vt:lpstr>'7.3 Report Member 5y YTR'!ILAnnuityInc_Shock1_Dif</vt:lpstr>
      <vt:lpstr>'7.1 Report Member 35y YTR'!ILAnnuityInc_Shock1_DifContr</vt:lpstr>
      <vt:lpstr>'7.2 Report Member 20y YTR'!ILAnnuityInc_Shock1_DifContr</vt:lpstr>
      <vt:lpstr>'7.3 Report Member 5y YTR'!ILAnnuityInc_Shock1_DifContr</vt:lpstr>
      <vt:lpstr>'7.1 Report Member 35y YTR'!ILAnnuityInc_Shock1_DifPA</vt:lpstr>
      <vt:lpstr>'7.2 Report Member 20y YTR'!ILAnnuityInc_Shock1_DifPA</vt:lpstr>
      <vt:lpstr>'7.3 Report Member 5y YTR'!ILAnnuityInc_Shock1_DifPA</vt:lpstr>
      <vt:lpstr>'7.1 Report Member 35y YTR'!ILAnnuityRepRate_Baseline</vt:lpstr>
      <vt:lpstr>'7.2 Report Member 20y YTR'!ILAnnuityRepRate_Baseline</vt:lpstr>
      <vt:lpstr>'7.3 Report Member 5y YTR'!ILAnnuityRepRate_Baseline</vt:lpstr>
      <vt:lpstr>'7.1 Report Member 35y YTR'!ILAnnuityRepRate_Baseline_NC</vt:lpstr>
      <vt:lpstr>'7.2 Report Member 20y YTR'!ILAnnuityRepRate_Baseline_NC</vt:lpstr>
      <vt:lpstr>'7.3 Report Member 5y YTR'!ILAnnuityRepRate_Baseline_NC</vt:lpstr>
      <vt:lpstr>'7.1 Report Member 35y YTR'!ILAnnuityRepRate_Baseline_NC_Dif</vt:lpstr>
      <vt:lpstr>'7.2 Report Member 20y YTR'!ILAnnuityRepRate_Baseline_NC_Dif</vt:lpstr>
      <vt:lpstr>'7.3 Report Member 5y YTR'!ILAnnuityRepRate_Baseline_NC_Dif</vt:lpstr>
      <vt:lpstr>'7.1 Report Member 35y YTR'!ILAnnuityRepRate_Baseline_NC_DifContr</vt:lpstr>
      <vt:lpstr>'7.2 Report Member 20y YTR'!ILAnnuityRepRate_Baseline_NC_DifContr</vt:lpstr>
      <vt:lpstr>'7.3 Report Member 5y YTR'!ILAnnuityRepRate_Baseline_NC_DifContr</vt:lpstr>
      <vt:lpstr>'7.1 Report Member 35y YTR'!ILAnnuityRepRate_Baseline_NC_DifPA</vt:lpstr>
      <vt:lpstr>'7.2 Report Member 20y YTR'!ILAnnuityRepRate_Baseline_NC_DifPA</vt:lpstr>
      <vt:lpstr>'7.3 Report Member 5y YTR'!ILAnnuityRepRate_Baseline_NC_DifPA</vt:lpstr>
      <vt:lpstr>'7.1 Report Member 35y YTR'!ILAnnuityRepRate_Shock1</vt:lpstr>
      <vt:lpstr>'7.2 Report Member 20y YTR'!ILAnnuityRepRate_Shock1</vt:lpstr>
      <vt:lpstr>'7.3 Report Member 5y YTR'!ILAnnuityRepRate_Shock1</vt:lpstr>
      <vt:lpstr>'7.1 Report Member 35y YTR'!ILAnnuityRepRate_Shock1_Dif</vt:lpstr>
      <vt:lpstr>'7.2 Report Member 20y YTR'!ILAnnuityRepRate_Shock1_Dif</vt:lpstr>
      <vt:lpstr>'7.3 Report Member 5y YTR'!ILAnnuityRepRate_Shock1_Dif</vt:lpstr>
      <vt:lpstr>'7.1 Report Member 35y YTR'!ILAnnuityRepRate_Shock1_DifContr</vt:lpstr>
      <vt:lpstr>'7.2 Report Member 20y YTR'!ILAnnuityRepRate_Shock1_DifContr</vt:lpstr>
      <vt:lpstr>'7.3 Report Member 5y YTR'!ILAnnuityRepRate_Shock1_DifContr</vt:lpstr>
      <vt:lpstr>'7.1 Report Member 35y YTR'!ILAnnuityRepRate_Shock1_DifPA</vt:lpstr>
      <vt:lpstr>'7.2 Report Member 20y YTR'!ILAnnuityRepRate_Shock1_DifPA</vt:lpstr>
      <vt:lpstr>'7.3 Report Member 5y YTR'!ILAnnuityRepRate_Shock1_DifPA</vt:lpstr>
      <vt:lpstr>'4.1. Member 35y YTR'!Inflation_Index_Cap</vt:lpstr>
      <vt:lpstr>'4.2. Member 20y YTR'!Inflation_Index_Cap</vt:lpstr>
      <vt:lpstr>'4.3. Member 5y YTR'!Inflation_Index_Cap</vt:lpstr>
      <vt:lpstr>'4.1. Member 35y YTR'!Inflation_Index_Floor</vt:lpstr>
      <vt:lpstr>'4.2. Member 20y YTR'!Inflation_Index_Floor</vt:lpstr>
      <vt:lpstr>'4.3. Member 5y YTR'!Inflation_Index_Floor</vt:lpstr>
      <vt:lpstr>'3.2. Asset menu'!InflationLinkedField</vt:lpstr>
      <vt:lpstr>'4.1. Member 35y YTR'!Initial_pension_wealth</vt:lpstr>
      <vt:lpstr>'4.2. Member 20y YTR'!Initial_pension_wealth</vt:lpstr>
      <vt:lpstr>'4.3. Member 5y YTR'!Initial_pension_wealth</vt:lpstr>
      <vt:lpstr>InvestCostOfContribution</vt:lpstr>
      <vt:lpstr>InvestCostOfFinalWealth</vt:lpstr>
      <vt:lpstr>InvestPortfolioCosts</vt:lpstr>
      <vt:lpstr>InvestReturnCost</vt:lpstr>
      <vt:lpstr>InvestReturnCostFloor</vt:lpstr>
      <vt:lpstr>IsCalculationTool</vt:lpstr>
      <vt:lpstr>'4.1. Member 35y YTR'!IsCapPensionBase</vt:lpstr>
      <vt:lpstr>'4.2. Member 20y YTR'!IsCapPensionBase</vt:lpstr>
      <vt:lpstr>'4.3. Member 5y YTR'!IsCapPensionBase</vt:lpstr>
      <vt:lpstr>'3.2. Asset menu'!IsEditing</vt:lpstr>
      <vt:lpstr>'4.1. Member 35y YTR'!IsFloorPensionBase</vt:lpstr>
      <vt:lpstr>'4.2. Member 20y YTR'!IsFloorPensionBase</vt:lpstr>
      <vt:lpstr>'4.3. Member 5y YTR'!IsFloorPensionBase</vt:lpstr>
      <vt:lpstr>'4.1. Member 35y YTR'!LevelCapPensionBase</vt:lpstr>
      <vt:lpstr>'4.2. Member 20y YTR'!LevelCapPensionBase</vt:lpstr>
      <vt:lpstr>'4.3. Member 5y YTR'!LevelCapPensionBase</vt:lpstr>
      <vt:lpstr>'4.1. Member 35y YTR'!LevelFloorPensionBase</vt:lpstr>
      <vt:lpstr>'4.2. Member 20y YTR'!LevelFloorPensionBase</vt:lpstr>
      <vt:lpstr>'4.3. Member 5y YTR'!LevelFloorPensionBase</vt:lpstr>
      <vt:lpstr>'7.1 Report Member 35y YTR'!LifeExp_Baseline</vt:lpstr>
      <vt:lpstr>'7.2 Report Member 20y YTR'!LifeExp_Baseline</vt:lpstr>
      <vt:lpstr>'7.3 Report Member 5y YTR'!LifeExp_Baseline</vt:lpstr>
      <vt:lpstr>'7.1 Report Member 35y YTR'!LifeExp_Shock1</vt:lpstr>
      <vt:lpstr>'7.2 Report Member 20y YTR'!LifeExp_Shock1</vt:lpstr>
      <vt:lpstr>'7.3 Report Member 5y YTR'!LifeExp_Shock1</vt:lpstr>
      <vt:lpstr>ListCurrencies</vt:lpstr>
      <vt:lpstr>ListLifeExpScenarios</vt:lpstr>
      <vt:lpstr>ListMemberSheets</vt:lpstr>
      <vt:lpstr>ListPayoutOptions</vt:lpstr>
      <vt:lpstr>Settings!ListScenarioSheets</vt:lpstr>
      <vt:lpstr>ListSimulationNames</vt:lpstr>
      <vt:lpstr>Max_no_of_assets</vt:lpstr>
      <vt:lpstr>'7.1 Report Member 35y YTR'!Member</vt:lpstr>
      <vt:lpstr>'7.2 Report Member 20y YTR'!Member</vt:lpstr>
      <vt:lpstr>'7.3 Report Member 5y YTR'!Member</vt:lpstr>
      <vt:lpstr>'4.1. Member 35y YTR'!MemberName</vt:lpstr>
      <vt:lpstr>'4.2. Member 20y YTR'!MemberName</vt:lpstr>
      <vt:lpstr>'4.3. Member 5y YTR'!MemberName</vt:lpstr>
      <vt:lpstr>'7.1 Report Member 35y YTR'!MemberNo</vt:lpstr>
      <vt:lpstr>'7.2 Report Member 20y YTR'!MemberNo</vt:lpstr>
      <vt:lpstr>'7.3 Report Member 5y YTR'!MemberNo</vt:lpstr>
      <vt:lpstr>'7.1 Report Member 35y YTR'!NomAnnuityInc_Baseline</vt:lpstr>
      <vt:lpstr>'7.2 Report Member 20y YTR'!NomAnnuityInc_Baseline</vt:lpstr>
      <vt:lpstr>'7.3 Report Member 5y YTR'!NomAnnuityInc_Baseline</vt:lpstr>
      <vt:lpstr>'7.1 Report Member 35y YTR'!NomAnnuityInc_Baseline_NC</vt:lpstr>
      <vt:lpstr>'7.2 Report Member 20y YTR'!NomAnnuityInc_Baseline_NC</vt:lpstr>
      <vt:lpstr>'7.3 Report Member 5y YTR'!NomAnnuityInc_Baseline_NC</vt:lpstr>
      <vt:lpstr>'7.1 Report Member 35y YTR'!NomAnnuityInc_Baseline_NC_Dif</vt:lpstr>
      <vt:lpstr>'7.2 Report Member 20y YTR'!NomAnnuityInc_Baseline_NC_Dif</vt:lpstr>
      <vt:lpstr>'7.3 Report Member 5y YTR'!NomAnnuityInc_Baseline_NC_Dif</vt:lpstr>
      <vt:lpstr>'7.1 Report Member 35y YTR'!NomAnnuityInc_Baseline_NC_DifContr</vt:lpstr>
      <vt:lpstr>'7.2 Report Member 20y YTR'!NomAnnuityInc_Baseline_NC_DifContr</vt:lpstr>
      <vt:lpstr>'7.3 Report Member 5y YTR'!NomAnnuityInc_Baseline_NC_DifContr</vt:lpstr>
      <vt:lpstr>'7.1 Report Member 35y YTR'!NomAnnuityInc_Baseline_NC_DifPA</vt:lpstr>
      <vt:lpstr>'7.2 Report Member 20y YTR'!NomAnnuityInc_Baseline_NC_DifPA</vt:lpstr>
      <vt:lpstr>'7.3 Report Member 5y YTR'!NomAnnuityInc_Baseline_NC_DifPA</vt:lpstr>
      <vt:lpstr>'7.1 Report Member 35y YTR'!NomAnnuityInc_Shock1</vt:lpstr>
      <vt:lpstr>'7.2 Report Member 20y YTR'!NomAnnuityInc_Shock1</vt:lpstr>
      <vt:lpstr>'7.3 Report Member 5y YTR'!NomAnnuityInc_Shock1</vt:lpstr>
      <vt:lpstr>'7.1 Report Member 35y YTR'!NomAnnuityInc_Shock1_Dif</vt:lpstr>
      <vt:lpstr>'7.2 Report Member 20y YTR'!NomAnnuityInc_Shock1_Dif</vt:lpstr>
      <vt:lpstr>'7.3 Report Member 5y YTR'!NomAnnuityInc_Shock1_Dif</vt:lpstr>
      <vt:lpstr>'7.1 Report Member 35y YTR'!NomAnnuityInc_Shock1_DifContr</vt:lpstr>
      <vt:lpstr>'7.2 Report Member 20y YTR'!NomAnnuityInc_Shock1_DifContr</vt:lpstr>
      <vt:lpstr>'7.3 Report Member 5y YTR'!NomAnnuityInc_Shock1_DifContr</vt:lpstr>
      <vt:lpstr>'7.1 Report Member 35y YTR'!NomAnnuityInc_Shock1_DifPA</vt:lpstr>
      <vt:lpstr>'7.2 Report Member 20y YTR'!NomAnnuityInc_Shock1_DifPA</vt:lpstr>
      <vt:lpstr>'7.3 Report Member 5y YTR'!NomAnnuityInc_Shock1_DifPA</vt:lpstr>
      <vt:lpstr>'7.1 Report Member 35y YTR'!NomAnnuityRepRate_Baseline</vt:lpstr>
      <vt:lpstr>'7.2 Report Member 20y YTR'!NomAnnuityRepRate_Baseline</vt:lpstr>
      <vt:lpstr>'7.3 Report Member 5y YTR'!NomAnnuityRepRate_Baseline</vt:lpstr>
      <vt:lpstr>'7.1 Report Member 35y YTR'!NomAnnuityRepRate_Baseline_NC</vt:lpstr>
      <vt:lpstr>'7.2 Report Member 20y YTR'!NomAnnuityRepRate_Baseline_NC</vt:lpstr>
      <vt:lpstr>'7.3 Report Member 5y YTR'!NomAnnuityRepRate_Baseline_NC</vt:lpstr>
      <vt:lpstr>'7.1 Report Member 35y YTR'!NomAnnuityRepRate_Baseline_NC_Dif</vt:lpstr>
      <vt:lpstr>'7.2 Report Member 20y YTR'!NomAnnuityRepRate_Baseline_NC_Dif</vt:lpstr>
      <vt:lpstr>'7.3 Report Member 5y YTR'!NomAnnuityRepRate_Baseline_NC_Dif</vt:lpstr>
      <vt:lpstr>'7.1 Report Member 35y YTR'!NomAnnuityRepRate_Baseline_NC_DifContr</vt:lpstr>
      <vt:lpstr>'7.2 Report Member 20y YTR'!NomAnnuityRepRate_Baseline_NC_DifContr</vt:lpstr>
      <vt:lpstr>'7.3 Report Member 5y YTR'!NomAnnuityRepRate_Baseline_NC_DifContr</vt:lpstr>
      <vt:lpstr>'7.1 Report Member 35y YTR'!NomAnnuityRepRate_Baseline_NC_DifPA</vt:lpstr>
      <vt:lpstr>'7.2 Report Member 20y YTR'!NomAnnuityRepRate_Baseline_NC_DifPA</vt:lpstr>
      <vt:lpstr>'7.3 Report Member 5y YTR'!NomAnnuityRepRate_Baseline_NC_DifPA</vt:lpstr>
      <vt:lpstr>'7.1 Report Member 35y YTR'!NomAnnuityRepRate_Shock1</vt:lpstr>
      <vt:lpstr>'7.2 Report Member 20y YTR'!NomAnnuityRepRate_Shock1</vt:lpstr>
      <vt:lpstr>'7.3 Report Member 5y YTR'!NomAnnuityRepRate_Shock1</vt:lpstr>
      <vt:lpstr>'7.1 Report Member 35y YTR'!NomAnnuityRepRate_Shock1_Dif</vt:lpstr>
      <vt:lpstr>'7.2 Report Member 20y YTR'!NomAnnuityRepRate_Shock1_Dif</vt:lpstr>
      <vt:lpstr>'7.3 Report Member 5y YTR'!NomAnnuityRepRate_Shock1_Dif</vt:lpstr>
      <vt:lpstr>'7.1 Report Member 35y YTR'!NomAnnuityRepRate_Shock1_DifContr</vt:lpstr>
      <vt:lpstr>'7.2 Report Member 20y YTR'!NomAnnuityRepRate_Shock1_DifContr</vt:lpstr>
      <vt:lpstr>'7.3 Report Member 5y YTR'!NomAnnuityRepRate_Shock1_DifContr</vt:lpstr>
      <vt:lpstr>'7.1 Report Member 35y YTR'!NomAnnuityRepRate_Shock1_DifPA</vt:lpstr>
      <vt:lpstr>'7.2 Report Member 20y YTR'!NomAnnuityRepRate_Shock1_DifPA</vt:lpstr>
      <vt:lpstr>'7.3 Report Member 5y YTR'!NomAnnuityRepRate_Shock1_DifPA</vt:lpstr>
      <vt:lpstr>NumberOfAssets</vt:lpstr>
      <vt:lpstr>ParticipantID</vt:lpstr>
      <vt:lpstr>PayOutOption</vt:lpstr>
      <vt:lpstr>'4.1. Member 35y YTR'!Pension_age</vt:lpstr>
      <vt:lpstr>'4.2. Member 20y YTR'!Pension_age</vt:lpstr>
      <vt:lpstr>'4.3. Member 5y YTR'!Pension_age</vt:lpstr>
      <vt:lpstr>'7.1 Report Member 35y YTR'!Pension_wealth_Baseline</vt:lpstr>
      <vt:lpstr>'7.2 Report Member 20y YTR'!Pension_wealth_Baseline</vt:lpstr>
      <vt:lpstr>'7.3 Report Member 5y YTR'!Pension_wealth_Baseline</vt:lpstr>
      <vt:lpstr>'7.1 Report Member 35y YTR'!Pension_wealth_Baseline_NC</vt:lpstr>
      <vt:lpstr>'7.2 Report Member 20y YTR'!Pension_wealth_Baseline_NC</vt:lpstr>
      <vt:lpstr>'7.3 Report Member 5y YTR'!Pension_wealth_Baseline_NC</vt:lpstr>
      <vt:lpstr>'7.1 Report Member 35y YTR'!Pension_wealth_Baseline_NC_Dif</vt:lpstr>
      <vt:lpstr>'7.2 Report Member 20y YTR'!Pension_wealth_Baseline_NC_Dif</vt:lpstr>
      <vt:lpstr>'7.3 Report Member 5y YTR'!Pension_wealth_Baseline_NC_Dif</vt:lpstr>
      <vt:lpstr>'7.1 Report Member 35y YTR'!Pension_wealth_Baseline_NC_DifContr</vt:lpstr>
      <vt:lpstr>'7.2 Report Member 20y YTR'!Pension_wealth_Baseline_NC_DifContr</vt:lpstr>
      <vt:lpstr>'7.3 Report Member 5y YTR'!Pension_wealth_Baseline_NC_DifContr</vt:lpstr>
      <vt:lpstr>'7.1 Report Member 35y YTR'!Pension_wealth_Baseline_NC_DifPA</vt:lpstr>
      <vt:lpstr>'7.2 Report Member 20y YTR'!Pension_wealth_Baseline_NC_DifPA</vt:lpstr>
      <vt:lpstr>'7.3 Report Member 5y YTR'!Pension_wealth_Baseline_NC_DifPA</vt:lpstr>
      <vt:lpstr>'7.1 Report Member 35y YTR'!Pension_wealth_Shock1</vt:lpstr>
      <vt:lpstr>'7.2 Report Member 20y YTR'!Pension_wealth_Shock1</vt:lpstr>
      <vt:lpstr>'7.3 Report Member 5y YTR'!Pension_wealth_Shock1</vt:lpstr>
      <vt:lpstr>'7.1 Report Member 35y YTR'!Pension_wealth_Shock1_Dif</vt:lpstr>
      <vt:lpstr>'7.2 Report Member 20y YTR'!Pension_wealth_Shock1_Dif</vt:lpstr>
      <vt:lpstr>'7.3 Report Member 5y YTR'!Pension_wealth_Shock1_Dif</vt:lpstr>
      <vt:lpstr>'7.1 Report Member 35y YTR'!Pension_wealth_Shock1_DifContr</vt:lpstr>
      <vt:lpstr>'7.2 Report Member 20y YTR'!Pension_wealth_Shock1_DifContr</vt:lpstr>
      <vt:lpstr>'7.3 Report Member 5y YTR'!Pension_wealth_Shock1_DifContr</vt:lpstr>
      <vt:lpstr>'7.1 Report Member 35y YTR'!Pension_wealth_Shock1_DifPA</vt:lpstr>
      <vt:lpstr>'7.2 Report Member 20y YTR'!Pension_wealth_Shock1_DifPA</vt:lpstr>
      <vt:lpstr>'7.3 Report Member 5y YTR'!Pension_wealth_Shock1_DifPA</vt:lpstr>
      <vt:lpstr>'7.1 Report Member 35y YTR'!Private_Equity</vt:lpstr>
      <vt:lpstr>'7.2 Report Member 20y YTR'!Private_Equity</vt:lpstr>
      <vt:lpstr>'7.3 Report Member 5y YTR'!Private_Equity</vt:lpstr>
      <vt:lpstr>Projection_real_wage_growth</vt:lpstr>
      <vt:lpstr>'5. Questionnaire'!Q15_Provider</vt:lpstr>
      <vt:lpstr>'5. Questionnaire'!Q16_Explanation</vt:lpstr>
      <vt:lpstr>'5. Questionnaire'!Q16_IsLegalConstraint</vt:lpstr>
      <vt:lpstr>'5. Questionnaire'!Q18_IsInflationLinkedAnnuity</vt:lpstr>
      <vt:lpstr>'5. Questionnaire'!Q18_IsLifeAnnuity</vt:lpstr>
      <vt:lpstr>'5. Questionnaire'!Q18_IsNominalAnnuity</vt:lpstr>
      <vt:lpstr>'5. Questionnaire'!Q18_IsTemporaryAnnuity</vt:lpstr>
      <vt:lpstr>'5. Questionnaire'!Q18_IsVariableAnnuity</vt:lpstr>
      <vt:lpstr>'5. Questionnaire'!Q2_NoActiveMembers</vt:lpstr>
      <vt:lpstr>'5. Questionnaire'!Q2_NoDeferredMembers</vt:lpstr>
      <vt:lpstr>'5. Questionnaire'!Q2_NoMembersRetired</vt:lpstr>
      <vt:lpstr>'5. Questionnaire'!Q2_NoRetiredMembers</vt:lpstr>
      <vt:lpstr>'5. Questionnaire'!Q2_NoTotalMembers</vt:lpstr>
      <vt:lpstr>'5. Questionnaire'!Q3_AssetValue0_5</vt:lpstr>
      <vt:lpstr>'5. Questionnaire'!Q3_AssetValue10_15</vt:lpstr>
      <vt:lpstr>'5. Questionnaire'!Q3_AssetValue15_20</vt:lpstr>
      <vt:lpstr>'5. Questionnaire'!Q3_AssetValue20_25</vt:lpstr>
      <vt:lpstr>'5. Questionnaire'!Q3_AssetValue25_30</vt:lpstr>
      <vt:lpstr>'5. Questionnaire'!Q3_AssetValue30_35</vt:lpstr>
      <vt:lpstr>'5. Questionnaire'!Q3_AssetValue35andMore</vt:lpstr>
      <vt:lpstr>'5. Questionnaire'!Q3_AssetValue5_10</vt:lpstr>
      <vt:lpstr>'5. Questionnaire'!Q3_AssetValueTotal</vt:lpstr>
      <vt:lpstr>'5. Questionnaire'!Q3_NoMembers0_5</vt:lpstr>
      <vt:lpstr>'5. Questionnaire'!Q3_NoMembers10_15</vt:lpstr>
      <vt:lpstr>'5. Questionnaire'!Q3_NoMembers15_20</vt:lpstr>
      <vt:lpstr>'5. Questionnaire'!Q3_NoMembers20_25</vt:lpstr>
      <vt:lpstr>'5. Questionnaire'!Q3_NoMembers25_30</vt:lpstr>
      <vt:lpstr>'5. Questionnaire'!Q3_NoMembers30_35</vt:lpstr>
      <vt:lpstr>'5. Questionnaire'!Q3_NoMembers35andMore</vt:lpstr>
      <vt:lpstr>'5. Questionnaire'!Q3_NoMembers5_10</vt:lpstr>
      <vt:lpstr>'5. Questionnaire'!Q3_NoMembersTotal</vt:lpstr>
      <vt:lpstr>'7.1 Report Member 35y YTR'!Real_Estate</vt:lpstr>
      <vt:lpstr>'7.2 Report Member 20y YTR'!Real_Estate</vt:lpstr>
      <vt:lpstr>'7.3 Report Member 5y YTR'!Real_Estate</vt:lpstr>
      <vt:lpstr>'7.1 Report Member 35y YTR'!Real_Estate_EU</vt:lpstr>
      <vt:lpstr>'7.2 Report Member 20y YTR'!Real_Estate_EU</vt:lpstr>
      <vt:lpstr>'7.3 Report Member 5y YTR'!Real_Estate_EU</vt:lpstr>
      <vt:lpstr>'7.1 Report Member 35y YTR'!Real_Estate_Global</vt:lpstr>
      <vt:lpstr>'7.2 Report Member 20y YTR'!Real_Estate_Global</vt:lpstr>
      <vt:lpstr>'7.3 Report Member 5y YTR'!Real_Estate_Global</vt:lpstr>
      <vt:lpstr>'7.1 Report Member 35y YTR'!Real_Estate_Non_EU</vt:lpstr>
      <vt:lpstr>'7.2 Report Member 20y YTR'!Real_Estate_Non_EU</vt:lpstr>
      <vt:lpstr>'7.3 Report Member 5y YTR'!Real_Estate_Non_EU</vt:lpstr>
      <vt:lpstr>'4.1. Member 35y YTR'!Total_hedge_effect</vt:lpstr>
      <vt:lpstr>'4.2. Member 20y YTR'!Total_hedge_effect</vt:lpstr>
      <vt:lpstr>'4.3. Member 5y YTR'!Total_hedge_effect</vt:lpstr>
      <vt:lpstr>Valid_Input</vt:lpstr>
      <vt:lpstr>'4.1. Member 35y YTR'!ValidateTotal</vt:lpstr>
      <vt:lpstr>'4.2. Member 20y YTR'!ValidateTotal</vt:lpstr>
      <vt:lpstr>'4.3. Member 5y YTR'!ValidateTotal</vt:lpstr>
      <vt:lpstr>'4.1. Member 35y YTR'!Wage</vt:lpstr>
      <vt:lpstr>'4.2. Member 20y YTR'!Wage</vt:lpstr>
      <vt:lpstr>'4.3. Member 5y YTR'!Wage</vt:lpstr>
      <vt:lpstr>'4.1. Member 35y YTR'!Years_to_retirement</vt:lpstr>
      <vt:lpstr>'4.2. Member 20y YTR'!Years_to_retirement</vt:lpstr>
      <vt:lpstr>'4.3. Member 5y YTR'!Years_to_retirement</vt:lpstr>
      <vt:lpstr>'7.1 Report Member 35y YTR'!YTR</vt:lpstr>
      <vt:lpstr>'7.2 Report Member 20y YTR'!YTR</vt:lpstr>
    </vt:vector>
  </TitlesOfParts>
  <Company>EIOPA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Calculation Tool IORP Stress Test</dc:subject>
  <dc:creator>HVW</dc:creator>
  <cp:lastModifiedBy>Jan Plock</cp:lastModifiedBy>
  <cp:lastPrinted>2017-03-15T08:56:12Z</cp:lastPrinted>
  <dcterms:created xsi:type="dcterms:W3CDTF">2015-01-20T10:42:01Z</dcterms:created>
  <dcterms:modified xsi:type="dcterms:W3CDTF">2019-06-14T07:08:27Z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0x010100F025371A0D5F1846930DBA2C9EDAF56600AFC9069F21C440458F2314C115976576</vt:lpwstr>
  </property>
  <property fmtid="{D5CDD505-2E9C-101B-9397-08002B2CF9AE}" pid="3" name="obb4efe42ba0440ebcc21f478af52bc7">
    <vt:lpwstr/>
  </property>
  <property fmtid="{D5CDD505-2E9C-101B-9397-08002B2CF9AE}" pid="4" name="Involved Party">
    <vt:lpwstr/>
  </property>
  <property fmtid="{D5CDD505-2E9C-101B-9397-08002B2CF9AE}" pid="5" name="lf7ec453acb346f5b4feea7d032d6f2c">
    <vt:lpwstr>Surveys|62b18434-7914-471c-8468-f91c3fa559d8</vt:lpwstr>
  </property>
  <property fmtid="{D5CDD505-2E9C-101B-9397-08002B2CF9AE}" pid="6" name="m4764fd034b84a6e893e168ee26c887c">
    <vt:lpwstr/>
  </property>
  <property fmtid="{D5CDD505-2E9C-101B-9397-08002B2CF9AE}" pid="7" name="Document Topic">
    <vt:lpwstr/>
  </property>
  <property fmtid="{D5CDD505-2E9C-101B-9397-08002B2CF9AE}" pid="8" name="Document Type">
    <vt:lpwstr>48;#Surveys|62b18434-7914-471c-8468-f91c3fa559d8</vt:lpwstr>
  </property>
  <property fmtid="{D5CDD505-2E9C-101B-9397-08002B2CF9AE}" pid="9" name="_NewReviewCycle">
    <vt:lpwstr/>
  </property>
  <property fmtid="{D5CDD505-2E9C-101B-9397-08002B2CF9AE}" pid="10" name="ERIS_Keywords">
    <vt:lpwstr>3;#Financial Stability|049b862d-b39b-44a2-9998-86d5f061724c;#6;#Stress Tests|310a71fb-0b6d-4cce-965f-02ba7f2cca49;#11;#Pensions|eef60d05-9a64-4d19-a843-387167e1c3bc</vt:lpwstr>
  </property>
  <property fmtid="{D5CDD505-2E9C-101B-9397-08002B2CF9AE}" pid="11" name="ERIS_Department">
    <vt:lpwstr>1;#Risks ＆ Financial Stability Department|364f0868-cf23-4007-af85-0c17c2d1b8b6</vt:lpwstr>
  </property>
  <property fmtid="{D5CDD505-2E9C-101B-9397-08002B2CF9AE}" pid="12" name="ERIS_DocumentType">
    <vt:lpwstr>58;#Technical Document|1a5bea9a-9455-4b42-9695-f3d22fbcc445</vt:lpwstr>
  </property>
  <property fmtid="{D5CDD505-2E9C-101B-9397-08002B2CF9AE}" pid="13" name="ERIS_Language">
    <vt:lpwstr>2;#English|2741a941-2920-4ba4-aa70-d8ed6ac1785d</vt:lpwstr>
  </property>
  <property fmtid="{D5CDD505-2E9C-101B-9397-08002B2CF9AE}" pid="14" name="WorkflowChangePath">
    <vt:lpwstr>3f02ba2c-06e2-4c3a-a259-553f0e48c1c8,4;</vt:lpwstr>
  </property>
  <property fmtid="{D5CDD505-2E9C-101B-9397-08002B2CF9AE}" pid="15" name="RecordPoint_WorkflowType">
    <vt:lpwstr>ActiveSubmitStub</vt:lpwstr>
  </property>
  <property fmtid="{D5CDD505-2E9C-101B-9397-08002B2CF9AE}" pid="16" name="RecordPoint_ActiveItemWebId">
    <vt:lpwstr>{9c9d3f1c-d43e-412d-b5ba-25b99655e7b0}</vt:lpwstr>
  </property>
  <property fmtid="{D5CDD505-2E9C-101B-9397-08002B2CF9AE}" pid="17" name="RecordPoint_ActiveItemSiteId">
    <vt:lpwstr>{61999160-d9b8-4a87-bd5b-b288d02af9da}</vt:lpwstr>
  </property>
  <property fmtid="{D5CDD505-2E9C-101B-9397-08002B2CF9AE}" pid="18" name="RecordPoint_ActiveItemListId">
    <vt:lpwstr>{f8ddd6c2-a9a9-432a-8302-827cf0317077}</vt:lpwstr>
  </property>
  <property fmtid="{D5CDD505-2E9C-101B-9397-08002B2CF9AE}" pid="19" name="RecordPoint_ActiveItemUniqueId">
    <vt:lpwstr>{f200e9af-6e77-4a94-9d54-5e9fb2dfbcf5}</vt:lpwstr>
  </property>
  <property fmtid="{D5CDD505-2E9C-101B-9397-08002B2CF9AE}" pid="20" name="RecordPoint_RecordNumberSubmitted">
    <vt:lpwstr>EIOPA(2019)0020279</vt:lpwstr>
  </property>
  <property fmtid="{D5CDD505-2E9C-101B-9397-08002B2CF9AE}" pid="21" name="RecordPoint_SubmissionCompleted">
    <vt:lpwstr>2019-03-29T16:46:32.6056528+01:00</vt:lpwstr>
  </property>
  <property fmtid="{D5CDD505-2E9C-101B-9397-08002B2CF9AE}" pid="22" name="RecordPoint_SubmissionDate">
    <vt:lpwstr/>
  </property>
  <property fmtid="{D5CDD505-2E9C-101B-9397-08002B2CF9AE}" pid="23" name="RecordPoint_RecordFormat">
    <vt:lpwstr/>
  </property>
  <property fmtid="{D5CDD505-2E9C-101B-9397-08002B2CF9AE}" pid="24" name="RecordPoint_ActiveItemMoved">
    <vt:lpwstr/>
  </property>
</Properties>
</file>