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intranet/eris/finstability/rsk/pst/IORPs ST 2019/Stress test package/website/"/>
    </mc:Choice>
  </mc:AlternateContent>
  <bookViews>
    <workbookView xWindow="0" yWindow="0" windowWidth="28800" windowHeight="11610"/>
  </bookViews>
  <sheets>
    <sheet name="Maximum sponsor support" sheetId="2" r:id="rId1"/>
    <sheet name="Simplific. 1 Sponsor support" sheetId="5" r:id="rId2"/>
    <sheet name="Simplific. 2 Sponsor support" sheetId="6" r:id="rId3"/>
    <sheet name="Simplific. 3 Sponsor support" sheetId="7" r:id="rId4"/>
    <sheet name="Pension protection scheme" sheetId="8" r:id="rId5"/>
  </sheets>
  <definedNames>
    <definedName name="corr_a_l" localSheetId="1">'Simplific. 1 Sponsor support'!$C$9</definedName>
    <definedName name="corr_a_l">#REF!</definedName>
    <definedName name="FV_a" localSheetId="1">'Simplific. 1 Sponsor support'!$C$5</definedName>
    <definedName name="FV_a">#REF!</definedName>
    <definedName name="FV_assets">'Simplific. 1 Sponsor support'!$C$5</definedName>
    <definedName name="FV_l" localSheetId="1">'Simplific. 1 Sponsor support'!$C$6</definedName>
    <definedName name="FV_l">#REF!</definedName>
    <definedName name="FV_liabilities">'Simplific. 1 Sponsor support'!$C$6</definedName>
    <definedName name="gamma" localSheetId="1">'Simplific. 1 Sponsor support'!$G$7</definedName>
    <definedName name="gamma">#REF!</definedName>
    <definedName name="n" localSheetId="1">'Simplific. 1 Sponsor support'!$G$5</definedName>
    <definedName name="n">#REF!</definedName>
    <definedName name="p" localSheetId="1">'Simplific. 1 Sponsor support'!$G$6</definedName>
    <definedName name="p">#REF!</definedName>
    <definedName name="p_exc" localSheetId="1">'Simplific. 1 Sponsor support'!$C$17</definedName>
    <definedName name="p_exc">#REF!</definedName>
    <definedName name="ratings">#REF!</definedName>
    <definedName name="rho">'Simplific. 1 Sponsor support'!$G$7</definedName>
    <definedName name="RSD_a" localSheetId="1">'Simplific. 1 Sponsor support'!$C$7</definedName>
    <definedName name="RSD_a">#REF!</definedName>
    <definedName name="RSD_l" localSheetId="1">'Simplific. 1 Sponsor support'!$C$8</definedName>
    <definedName name="RSD_l">#REF!</definedName>
    <definedName name="SS_max" localSheetId="1">'Simplific. 1 Sponsor support'!$C$14</definedName>
    <definedName name="SS_max">#REF!</definedName>
    <definedName name="SS_mean" localSheetId="1">'Simplific. 1 Sponsor support'!$C$11</definedName>
    <definedName name="SS_mean">#REF!</definedName>
    <definedName name="SS_stdev" localSheetId="1">'Simplific. 1 Sponsor support'!$C$12</definedName>
    <definedName name="SS_stdev">#REF!</definedName>
    <definedName name="steps">#REF!</definedName>
  </definedNames>
  <calcPr calcId="162913"/>
</workbook>
</file>

<file path=xl/calcChain.xml><?xml version="1.0" encoding="utf-8"?>
<calcChain xmlns="http://schemas.openxmlformats.org/spreadsheetml/2006/main">
  <c r="G4" i="8" l="1"/>
  <c r="H5" i="8"/>
  <c r="J5" i="8"/>
  <c r="I5" i="8" s="1"/>
  <c r="N5" i="8"/>
  <c r="P5" i="8"/>
  <c r="O5" i="8" s="1"/>
  <c r="F6" i="8"/>
  <c r="H6" i="8" s="1"/>
  <c r="L6" i="8"/>
  <c r="N6" i="8" s="1"/>
  <c r="G5" i="8" l="1"/>
  <c r="M5" i="8"/>
  <c r="L7" i="8"/>
  <c r="P6" i="8"/>
  <c r="O6" i="8" s="1"/>
  <c r="M6" i="8" s="1"/>
  <c r="F7" i="8"/>
  <c r="J6" i="8"/>
  <c r="I6" i="8" s="1"/>
  <c r="G6" i="8" s="1"/>
  <c r="N7" i="8" l="1"/>
  <c r="L8" i="8"/>
  <c r="P7" i="8"/>
  <c r="O7" i="8" s="1"/>
  <c r="H7" i="8"/>
  <c r="J7" i="8"/>
  <c r="I7" i="8" s="1"/>
  <c r="F8" i="8"/>
  <c r="M7" i="8" l="1"/>
  <c r="N8" i="8"/>
  <c r="L9" i="8"/>
  <c r="P8" i="8"/>
  <c r="O8" i="8" s="1"/>
  <c r="M8" i="8" s="1"/>
  <c r="G7" i="8"/>
  <c r="H8" i="8"/>
  <c r="J8" i="8"/>
  <c r="I8" i="8" s="1"/>
  <c r="F9" i="8"/>
  <c r="N9" i="8" l="1"/>
  <c r="L10" i="8"/>
  <c r="P9" i="8"/>
  <c r="O9" i="8" s="1"/>
  <c r="M9" i="8" s="1"/>
  <c r="G8" i="8"/>
  <c r="H9" i="8"/>
  <c r="J9" i="8"/>
  <c r="I9" i="8" s="1"/>
  <c r="F10" i="8"/>
  <c r="N10" i="8" l="1"/>
  <c r="L11" i="8"/>
  <c r="P10" i="8"/>
  <c r="O10" i="8" s="1"/>
  <c r="M10" i="8" s="1"/>
  <c r="H10" i="8"/>
  <c r="J10" i="8"/>
  <c r="I10" i="8" s="1"/>
  <c r="F11" i="8"/>
  <c r="G9" i="8"/>
  <c r="N11" i="8" l="1"/>
  <c r="L12" i="8"/>
  <c r="P11" i="8"/>
  <c r="O11" i="8" s="1"/>
  <c r="M11" i="8" s="1"/>
  <c r="H11" i="8"/>
  <c r="J11" i="8"/>
  <c r="I11" i="8" s="1"/>
  <c r="F12" i="8"/>
  <c r="G10" i="8"/>
  <c r="N12" i="8" l="1"/>
  <c r="L13" i="8"/>
  <c r="P12" i="8"/>
  <c r="O12" i="8" s="1"/>
  <c r="M12" i="8" s="1"/>
  <c r="G11" i="8"/>
  <c r="H12" i="8"/>
  <c r="J12" i="8"/>
  <c r="I12" i="8" s="1"/>
  <c r="F13" i="8"/>
  <c r="D9" i="7"/>
  <c r="D11" i="7" s="1"/>
  <c r="D10" i="7"/>
  <c r="D13" i="7"/>
  <c r="D20" i="7"/>
  <c r="N13" i="8" l="1"/>
  <c r="L14" i="8"/>
  <c r="P13" i="8"/>
  <c r="O13" i="8" s="1"/>
  <c r="M13" i="8" s="1"/>
  <c r="H13" i="8"/>
  <c r="J13" i="8"/>
  <c r="I13" i="8" s="1"/>
  <c r="F14" i="8"/>
  <c r="G12" i="8"/>
  <c r="D14" i="7"/>
  <c r="N14" i="8" l="1"/>
  <c r="L15" i="8"/>
  <c r="P14" i="8"/>
  <c r="O14" i="8" s="1"/>
  <c r="M14" i="8" s="1"/>
  <c r="C17" i="8" s="1"/>
  <c r="F15" i="8"/>
  <c r="H14" i="8"/>
  <c r="J14" i="8"/>
  <c r="I14" i="8" s="1"/>
  <c r="G13" i="8"/>
  <c r="D17" i="7"/>
  <c r="D21" i="7" s="1"/>
  <c r="D22" i="7" s="1"/>
  <c r="D25" i="7"/>
  <c r="D26" i="7" s="1"/>
  <c r="D27" i="7" s="1"/>
  <c r="N15" i="8" l="1"/>
  <c r="P15" i="8"/>
  <c r="O15" i="8" s="1"/>
  <c r="L16" i="8"/>
  <c r="H15" i="8"/>
  <c r="J15" i="8"/>
  <c r="I15" i="8" s="1"/>
  <c r="F16" i="8"/>
  <c r="G14" i="8"/>
  <c r="C15" i="8" s="1"/>
  <c r="D28" i="7"/>
  <c r="D31" i="7" s="1"/>
  <c r="D32" i="7" s="1"/>
  <c r="M15" i="8" l="1"/>
  <c r="C18" i="8"/>
  <c r="P16" i="8"/>
  <c r="O16" i="8" s="1"/>
  <c r="L17" i="8"/>
  <c r="N16" i="8"/>
  <c r="H16" i="8"/>
  <c r="J16" i="8"/>
  <c r="I16" i="8" s="1"/>
  <c r="F17" i="8"/>
  <c r="G15" i="8"/>
  <c r="H3" i="6"/>
  <c r="G5" i="6"/>
  <c r="H5" i="6"/>
  <c r="F6" i="6"/>
  <c r="M16" i="8" l="1"/>
  <c r="P17" i="8"/>
  <c r="O17" i="8" s="1"/>
  <c r="N17" i="8"/>
  <c r="L18" i="8"/>
  <c r="F18" i="8"/>
  <c r="J17" i="8"/>
  <c r="I17" i="8" s="1"/>
  <c r="H17" i="8"/>
  <c r="G16" i="8"/>
  <c r="G6" i="6"/>
  <c r="F7" i="6"/>
  <c r="H6" i="6"/>
  <c r="G9" i="5"/>
  <c r="C11" i="5"/>
  <c r="C12" i="5"/>
  <c r="C19" i="5"/>
  <c r="P18" i="8" l="1"/>
  <c r="O18" i="8" s="1"/>
  <c r="L19" i="8"/>
  <c r="N18" i="8"/>
  <c r="M18" i="8" s="1"/>
  <c r="M17" i="8"/>
  <c r="G17" i="8"/>
  <c r="H18" i="8"/>
  <c r="J18" i="8"/>
  <c r="I18" i="8" s="1"/>
  <c r="F19" i="8"/>
  <c r="C17" i="5"/>
  <c r="C18" i="5" s="1"/>
  <c r="C20" i="5" s="1"/>
  <c r="C21" i="5" s="1"/>
  <c r="G21" i="5" s="1"/>
  <c r="H7" i="6"/>
  <c r="F8" i="6"/>
  <c r="G7" i="6"/>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G18" i="8" l="1"/>
  <c r="N19" i="8"/>
  <c r="P19" i="8"/>
  <c r="O19" i="8" s="1"/>
  <c r="L20" i="8"/>
  <c r="H19" i="8"/>
  <c r="J19" i="8"/>
  <c r="I19" i="8" s="1"/>
  <c r="F20" i="8"/>
  <c r="G8" i="6"/>
  <c r="F9" i="6"/>
  <c r="H8" i="6"/>
  <c r="F10" i="2"/>
  <c r="N20" i="8" l="1"/>
  <c r="M20" i="8" s="1"/>
  <c r="P20" i="8"/>
  <c r="O20" i="8" s="1"/>
  <c r="L21" i="8"/>
  <c r="M19" i="8"/>
  <c r="H20" i="8"/>
  <c r="J20" i="8"/>
  <c r="I20" i="8" s="1"/>
  <c r="F21" i="8"/>
  <c r="G19" i="8"/>
  <c r="H9" i="6"/>
  <c r="G9" i="6"/>
  <c r="F10" i="6"/>
  <c r="I10" i="2"/>
  <c r="L10" i="2" s="1"/>
  <c r="C13" i="2" s="1"/>
  <c r="E11" i="2"/>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I57" i="2" s="1"/>
  <c r="L57" i="2" s="1"/>
  <c r="L22" i="8" l="1"/>
  <c r="N21" i="8"/>
  <c r="P21" i="8"/>
  <c r="O21" i="8" s="1"/>
  <c r="G20" i="8"/>
  <c r="H21" i="8"/>
  <c r="J21" i="8"/>
  <c r="I21" i="8" s="1"/>
  <c r="F22" i="8"/>
  <c r="G10" i="6"/>
  <c r="F11" i="6"/>
  <c r="H10" i="6"/>
  <c r="I27" i="2"/>
  <c r="L27" i="2" s="1"/>
  <c r="I14" i="2"/>
  <c r="L14" i="2" s="1"/>
  <c r="I43" i="2"/>
  <c r="L43" i="2" s="1"/>
  <c r="I19" i="2"/>
  <c r="L19" i="2" s="1"/>
  <c r="I35" i="2"/>
  <c r="L35" i="2" s="1"/>
  <c r="I51" i="2"/>
  <c r="L51" i="2" s="1"/>
  <c r="I15" i="2"/>
  <c r="L15" i="2" s="1"/>
  <c r="I31" i="2"/>
  <c r="L31" i="2" s="1"/>
  <c r="I47" i="2"/>
  <c r="L47" i="2" s="1"/>
  <c r="I11" i="2"/>
  <c r="L11" i="2" s="1"/>
  <c r="I23" i="2"/>
  <c r="L23" i="2" s="1"/>
  <c r="I39" i="2"/>
  <c r="L39" i="2" s="1"/>
  <c r="I55" i="2"/>
  <c r="L55" i="2" s="1"/>
  <c r="I12" i="2"/>
  <c r="L12" i="2" s="1"/>
  <c r="I16" i="2"/>
  <c r="L16" i="2" s="1"/>
  <c r="I20" i="2"/>
  <c r="L20" i="2" s="1"/>
  <c r="I24" i="2"/>
  <c r="L24" i="2" s="1"/>
  <c r="I28" i="2"/>
  <c r="L28" i="2" s="1"/>
  <c r="I32" i="2"/>
  <c r="L32" i="2" s="1"/>
  <c r="I36" i="2"/>
  <c r="L36" i="2" s="1"/>
  <c r="I40" i="2"/>
  <c r="L40" i="2" s="1"/>
  <c r="I44" i="2"/>
  <c r="L44" i="2" s="1"/>
  <c r="I48" i="2"/>
  <c r="L48" i="2" s="1"/>
  <c r="I52" i="2"/>
  <c r="L52" i="2" s="1"/>
  <c r="I56" i="2"/>
  <c r="L56" i="2" s="1"/>
  <c r="E58" i="2"/>
  <c r="I13" i="2"/>
  <c r="L13" i="2" s="1"/>
  <c r="I17" i="2"/>
  <c r="L17" i="2" s="1"/>
  <c r="I21" i="2"/>
  <c r="L21" i="2" s="1"/>
  <c r="I25" i="2"/>
  <c r="L25" i="2" s="1"/>
  <c r="I29" i="2"/>
  <c r="L29" i="2" s="1"/>
  <c r="I33" i="2"/>
  <c r="L33" i="2" s="1"/>
  <c r="I37" i="2"/>
  <c r="L37" i="2" s="1"/>
  <c r="I41" i="2"/>
  <c r="L41" i="2" s="1"/>
  <c r="I45" i="2"/>
  <c r="L45" i="2" s="1"/>
  <c r="I49" i="2"/>
  <c r="L49" i="2" s="1"/>
  <c r="I53" i="2"/>
  <c r="L53" i="2" s="1"/>
  <c r="I18" i="2"/>
  <c r="L18" i="2" s="1"/>
  <c r="I22" i="2"/>
  <c r="L22" i="2" s="1"/>
  <c r="I26" i="2"/>
  <c r="L26" i="2" s="1"/>
  <c r="I30" i="2"/>
  <c r="L30" i="2" s="1"/>
  <c r="I34" i="2"/>
  <c r="L34" i="2" s="1"/>
  <c r="I38" i="2"/>
  <c r="L38" i="2" s="1"/>
  <c r="I42" i="2"/>
  <c r="L42" i="2" s="1"/>
  <c r="I46" i="2"/>
  <c r="L46" i="2" s="1"/>
  <c r="I50" i="2"/>
  <c r="L50" i="2" s="1"/>
  <c r="I54" i="2"/>
  <c r="L54" i="2" s="1"/>
  <c r="P22" i="8" l="1"/>
  <c r="O22" i="8" s="1"/>
  <c r="L23" i="8"/>
  <c r="N22" i="8"/>
  <c r="M22" i="8" s="1"/>
  <c r="M21" i="8"/>
  <c r="H22" i="8"/>
  <c r="J22" i="8"/>
  <c r="I22" i="8" s="1"/>
  <c r="F23" i="8"/>
  <c r="G21" i="8"/>
  <c r="H11" i="6"/>
  <c r="F12" i="6"/>
  <c r="G11" i="6"/>
  <c r="E59" i="2"/>
  <c r="I58" i="2"/>
  <c r="L58" i="2" s="1"/>
  <c r="G22" i="8" l="1"/>
  <c r="N23" i="8"/>
  <c r="P23" i="8"/>
  <c r="O23" i="8" s="1"/>
  <c r="L24" i="8"/>
  <c r="H23" i="8"/>
  <c r="J23" i="8"/>
  <c r="I23" i="8" s="1"/>
  <c r="F24" i="8"/>
  <c r="G12" i="6"/>
  <c r="F13" i="6"/>
  <c r="H12" i="6"/>
  <c r="I59" i="2"/>
  <c r="L59" i="2" s="1"/>
  <c r="P24" i="8" l="1"/>
  <c r="O24" i="8" s="1"/>
  <c r="L25" i="8"/>
  <c r="N24" i="8"/>
  <c r="M24" i="8" s="1"/>
  <c r="M23" i="8"/>
  <c r="H24" i="8"/>
  <c r="J24" i="8"/>
  <c r="I24" i="8" s="1"/>
  <c r="F25" i="8"/>
  <c r="G23" i="8"/>
  <c r="H13" i="6"/>
  <c r="F14" i="6"/>
  <c r="G13" i="6"/>
  <c r="G24" i="8" l="1"/>
  <c r="N25" i="8"/>
  <c r="P25" i="8"/>
  <c r="O25" i="8" s="1"/>
  <c r="L26" i="8"/>
  <c r="H25" i="8"/>
  <c r="J25" i="8"/>
  <c r="I25" i="8" s="1"/>
  <c r="F26" i="8"/>
  <c r="H14" i="6"/>
  <c r="F15" i="6"/>
  <c r="G14" i="6"/>
  <c r="P26" i="8" l="1"/>
  <c r="O26" i="8" s="1"/>
  <c r="L27" i="8"/>
  <c r="N26" i="8"/>
  <c r="M26" i="8" s="1"/>
  <c r="M25" i="8"/>
  <c r="H26" i="8"/>
  <c r="J26" i="8"/>
  <c r="I26" i="8" s="1"/>
  <c r="F27" i="8"/>
  <c r="G25" i="8"/>
  <c r="H15" i="6"/>
  <c r="G15" i="6"/>
  <c r="F16" i="6"/>
  <c r="G26" i="8" l="1"/>
  <c r="N27" i="8"/>
  <c r="P27" i="8"/>
  <c r="O27" i="8" s="1"/>
  <c r="L28" i="8"/>
  <c r="H27" i="8"/>
  <c r="J27" i="8"/>
  <c r="I27" i="8" s="1"/>
  <c r="F28" i="8"/>
  <c r="G16" i="6"/>
  <c r="H16" i="6"/>
  <c r="F17" i="6"/>
  <c r="P28" i="8" l="1"/>
  <c r="O28" i="8" s="1"/>
  <c r="N28" i="8"/>
  <c r="L29" i="8"/>
  <c r="M27" i="8"/>
  <c r="H28" i="8"/>
  <c r="F29" i="8"/>
  <c r="J28" i="8"/>
  <c r="I28" i="8" s="1"/>
  <c r="G27" i="8"/>
  <c r="G17" i="6"/>
  <c r="H17" i="6"/>
  <c r="F18" i="6"/>
  <c r="N29" i="8" l="1"/>
  <c r="L30" i="8"/>
  <c r="P29" i="8"/>
  <c r="O29" i="8" s="1"/>
  <c r="M28" i="8"/>
  <c r="G28" i="8"/>
  <c r="J29" i="8"/>
  <c r="I29" i="8" s="1"/>
  <c r="H29" i="8"/>
  <c r="F30" i="8"/>
  <c r="G18" i="6"/>
  <c r="F19" i="6"/>
  <c r="H18" i="6"/>
  <c r="M29" i="8" l="1"/>
  <c r="P30" i="8"/>
  <c r="O30" i="8" s="1"/>
  <c r="N30" i="8"/>
  <c r="M30" i="8" s="1"/>
  <c r="L31" i="8"/>
  <c r="H30" i="8"/>
  <c r="F31" i="8"/>
  <c r="J30" i="8"/>
  <c r="I30" i="8" s="1"/>
  <c r="G29" i="8"/>
  <c r="H19" i="6"/>
  <c r="F20" i="6"/>
  <c r="G19" i="6"/>
  <c r="N31" i="8" l="1"/>
  <c r="L32" i="8"/>
  <c r="P31" i="8"/>
  <c r="O31" i="8" s="1"/>
  <c r="J31" i="8"/>
  <c r="I31" i="8" s="1"/>
  <c r="H31" i="8"/>
  <c r="F32" i="8"/>
  <c r="G30" i="8"/>
  <c r="G20" i="6"/>
  <c r="F21" i="6"/>
  <c r="H20" i="6"/>
  <c r="M31" i="8" l="1"/>
  <c r="P32" i="8"/>
  <c r="O32" i="8" s="1"/>
  <c r="N32" i="8"/>
  <c r="M32" i="8" s="1"/>
  <c r="L33" i="8"/>
  <c r="H32" i="8"/>
  <c r="F33" i="8"/>
  <c r="J32" i="8"/>
  <c r="I32" i="8" s="1"/>
  <c r="G31" i="8"/>
  <c r="H21" i="6"/>
  <c r="G21" i="6"/>
  <c r="F22" i="6"/>
  <c r="N33" i="8" l="1"/>
  <c r="L34" i="8"/>
  <c r="P33" i="8"/>
  <c r="O33" i="8" s="1"/>
  <c r="J33" i="8"/>
  <c r="I33" i="8" s="1"/>
  <c r="H33" i="8"/>
  <c r="F34" i="8"/>
  <c r="G32" i="8"/>
  <c r="G22" i="6"/>
  <c r="F23" i="6"/>
  <c r="H22" i="6"/>
  <c r="G33" i="8" l="1"/>
  <c r="M33" i="8"/>
  <c r="P34" i="8"/>
  <c r="O34" i="8" s="1"/>
  <c r="N34" i="8"/>
  <c r="M34" i="8" s="1"/>
  <c r="L35" i="8"/>
  <c r="H34" i="8"/>
  <c r="F35" i="8"/>
  <c r="J34" i="8"/>
  <c r="I34" i="8" s="1"/>
  <c r="H23" i="6"/>
  <c r="F24" i="6"/>
  <c r="G23" i="6"/>
  <c r="N35" i="8" l="1"/>
  <c r="L36" i="8"/>
  <c r="P35" i="8"/>
  <c r="O35" i="8" s="1"/>
  <c r="G34" i="8"/>
  <c r="J35" i="8"/>
  <c r="I35" i="8" s="1"/>
  <c r="H35" i="8"/>
  <c r="F36" i="8"/>
  <c r="G24" i="6"/>
  <c r="C17" i="6" s="1"/>
  <c r="F25" i="6"/>
  <c r="H24" i="6"/>
  <c r="M35" i="8" l="1"/>
  <c r="P36" i="8"/>
  <c r="O36" i="8" s="1"/>
  <c r="N36" i="8"/>
  <c r="M36" i="8" s="1"/>
  <c r="L37" i="8"/>
  <c r="H36" i="8"/>
  <c r="F37" i="8"/>
  <c r="J36" i="8"/>
  <c r="I36" i="8" s="1"/>
  <c r="G35" i="8"/>
  <c r="H25" i="6"/>
  <c r="G25" i="6"/>
  <c r="F26" i="6"/>
  <c r="C14" i="6"/>
  <c r="C18" i="6" s="1"/>
  <c r="C15" i="6"/>
  <c r="N37" i="8" l="1"/>
  <c r="L38" i="8"/>
  <c r="P37" i="8"/>
  <c r="O37" i="8" s="1"/>
  <c r="J37" i="8"/>
  <c r="I37" i="8" s="1"/>
  <c r="H37" i="8"/>
  <c r="F38" i="8"/>
  <c r="G36" i="8"/>
  <c r="G26" i="6"/>
  <c r="F27" i="6"/>
  <c r="H26" i="6"/>
  <c r="M37" i="8" l="1"/>
  <c r="P38" i="8"/>
  <c r="O38" i="8" s="1"/>
  <c r="N38" i="8"/>
  <c r="M38" i="8" s="1"/>
  <c r="L39" i="8"/>
  <c r="H38" i="8"/>
  <c r="F39" i="8"/>
  <c r="J38" i="8"/>
  <c r="I38" i="8" s="1"/>
  <c r="G37" i="8"/>
  <c r="H27" i="6"/>
  <c r="F28" i="6"/>
  <c r="G27" i="6"/>
  <c r="P39" i="8" l="1"/>
  <c r="O39" i="8" s="1"/>
  <c r="N39" i="8"/>
  <c r="L40" i="8"/>
  <c r="J39" i="8"/>
  <c r="I39" i="8" s="1"/>
  <c r="H39" i="8"/>
  <c r="F40" i="8"/>
  <c r="G38" i="8"/>
  <c r="G28" i="6"/>
  <c r="F29" i="6"/>
  <c r="H28" i="6"/>
  <c r="G39" i="8" l="1"/>
  <c r="N40" i="8"/>
  <c r="L41" i="8"/>
  <c r="P40" i="8"/>
  <c r="O40" i="8" s="1"/>
  <c r="M39" i="8"/>
  <c r="H40" i="8"/>
  <c r="F41" i="8"/>
  <c r="J40" i="8"/>
  <c r="I40" i="8" s="1"/>
  <c r="H29" i="6"/>
  <c r="G29" i="6"/>
  <c r="F30" i="6"/>
  <c r="M40" i="8" l="1"/>
  <c r="N41" i="8"/>
  <c r="L42" i="8"/>
  <c r="P41" i="8"/>
  <c r="O41" i="8" s="1"/>
  <c r="G40" i="8"/>
  <c r="J41" i="8"/>
  <c r="I41" i="8" s="1"/>
  <c r="H41" i="8"/>
  <c r="F42" i="8"/>
  <c r="G30" i="6"/>
  <c r="F31" i="6"/>
  <c r="H30" i="6"/>
  <c r="P42" i="8" l="1"/>
  <c r="O42" i="8" s="1"/>
  <c r="N42" i="8"/>
  <c r="L43" i="8"/>
  <c r="M41" i="8"/>
  <c r="H42" i="8"/>
  <c r="F43" i="8"/>
  <c r="J42" i="8"/>
  <c r="I42" i="8" s="1"/>
  <c r="G41" i="8"/>
  <c r="H31" i="6"/>
  <c r="F32" i="6"/>
  <c r="G31" i="6"/>
  <c r="P43" i="8" l="1"/>
  <c r="O43" i="8" s="1"/>
  <c r="N43" i="8"/>
  <c r="L44" i="8"/>
  <c r="M42" i="8"/>
  <c r="J43" i="8"/>
  <c r="I43" i="8" s="1"/>
  <c r="H43" i="8"/>
  <c r="F44" i="8"/>
  <c r="G42" i="8"/>
  <c r="G32" i="6"/>
  <c r="F33" i="6"/>
  <c r="H32" i="6"/>
  <c r="P44" i="8" l="1"/>
  <c r="O44" i="8" s="1"/>
  <c r="N44" i="8"/>
  <c r="L45" i="8"/>
  <c r="M43" i="8"/>
  <c r="H44" i="8"/>
  <c r="F45" i="8"/>
  <c r="J44" i="8"/>
  <c r="I44" i="8" s="1"/>
  <c r="G43" i="8"/>
  <c r="H33" i="6"/>
  <c r="G33" i="6"/>
  <c r="F34" i="6"/>
  <c r="N45" i="8" l="1"/>
  <c r="L46" i="8"/>
  <c r="P45" i="8"/>
  <c r="O45" i="8" s="1"/>
  <c r="M44" i="8"/>
  <c r="J45" i="8"/>
  <c r="I45" i="8" s="1"/>
  <c r="H45" i="8"/>
  <c r="F46" i="8"/>
  <c r="G44" i="8"/>
  <c r="G34" i="6"/>
  <c r="F35" i="6"/>
  <c r="H34" i="6"/>
  <c r="M45" i="8" l="1"/>
  <c r="G45" i="8"/>
  <c r="N46" i="8"/>
  <c r="L47" i="8"/>
  <c r="P46" i="8"/>
  <c r="O46" i="8" s="1"/>
  <c r="H46" i="8"/>
  <c r="F47" i="8"/>
  <c r="J46" i="8"/>
  <c r="I46" i="8" s="1"/>
  <c r="H35" i="6"/>
  <c r="F36" i="6"/>
  <c r="G35" i="6"/>
  <c r="M46" i="8" l="1"/>
  <c r="N47" i="8"/>
  <c r="L48" i="8"/>
  <c r="P47" i="8"/>
  <c r="O47" i="8" s="1"/>
  <c r="G46" i="8"/>
  <c r="J47" i="8"/>
  <c r="I47" i="8" s="1"/>
  <c r="H47" i="8"/>
  <c r="F48" i="8"/>
  <c r="G36" i="6"/>
  <c r="F37" i="6"/>
  <c r="H36" i="6"/>
  <c r="P48" i="8" l="1"/>
  <c r="O48" i="8" s="1"/>
  <c r="N48" i="8"/>
  <c r="L49" i="8"/>
  <c r="M47" i="8"/>
  <c r="H48" i="8"/>
  <c r="F49" i="8"/>
  <c r="J48" i="8"/>
  <c r="I48" i="8" s="1"/>
  <c r="G47" i="8"/>
  <c r="H37" i="6"/>
  <c r="G37" i="6"/>
  <c r="F38" i="6"/>
  <c r="P49" i="8" l="1"/>
  <c r="O49" i="8" s="1"/>
  <c r="N49" i="8"/>
  <c r="L50" i="8"/>
  <c r="M48" i="8"/>
  <c r="J49" i="8"/>
  <c r="I49" i="8" s="1"/>
  <c r="H49" i="8"/>
  <c r="F50" i="8"/>
  <c r="G48" i="8"/>
  <c r="G38" i="6"/>
  <c r="F39" i="6"/>
  <c r="H38" i="6"/>
  <c r="P50" i="8" l="1"/>
  <c r="O50" i="8" s="1"/>
  <c r="N50" i="8"/>
  <c r="L51" i="8"/>
  <c r="M49" i="8"/>
  <c r="H50" i="8"/>
  <c r="F51" i="8"/>
  <c r="J50" i="8"/>
  <c r="I50" i="8" s="1"/>
  <c r="G49" i="8"/>
  <c r="H39" i="6"/>
  <c r="F40" i="6"/>
  <c r="G39" i="6"/>
  <c r="P51" i="8" l="1"/>
  <c r="O51" i="8" s="1"/>
  <c r="N51" i="8"/>
  <c r="L52" i="8"/>
  <c r="M50" i="8"/>
  <c r="J51" i="8"/>
  <c r="I51" i="8" s="1"/>
  <c r="H51" i="8"/>
  <c r="F52" i="8"/>
  <c r="G50" i="8"/>
  <c r="G40" i="6"/>
  <c r="F41" i="6"/>
  <c r="H40" i="6"/>
  <c r="N52" i="8" l="1"/>
  <c r="L53" i="8"/>
  <c r="P52" i="8"/>
  <c r="O52" i="8" s="1"/>
  <c r="G51" i="8"/>
  <c r="M51" i="8"/>
  <c r="H52" i="8"/>
  <c r="F53" i="8"/>
  <c r="J52" i="8"/>
  <c r="I52" i="8" s="1"/>
  <c r="H41" i="6"/>
  <c r="G41" i="6"/>
  <c r="F42" i="6"/>
  <c r="M52" i="8" l="1"/>
  <c r="P53" i="8"/>
  <c r="O53" i="8" s="1"/>
  <c r="N53" i="8"/>
  <c r="L54" i="8"/>
  <c r="G52" i="8"/>
  <c r="J53" i="8"/>
  <c r="I53" i="8" s="1"/>
  <c r="H53" i="8"/>
  <c r="F54" i="8"/>
  <c r="G42" i="6"/>
  <c r="F43" i="6"/>
  <c r="H42" i="6"/>
  <c r="M53" i="8" l="1"/>
  <c r="P54" i="8"/>
  <c r="O54" i="8" s="1"/>
  <c r="N54" i="8"/>
  <c r="L55" i="8"/>
  <c r="H54" i="8"/>
  <c r="J54" i="8"/>
  <c r="I54" i="8" s="1"/>
  <c r="F55" i="8"/>
  <c r="G53" i="8"/>
  <c r="H43" i="6"/>
  <c r="F44" i="6"/>
  <c r="G43" i="6"/>
  <c r="N55" i="8" l="1"/>
  <c r="L56" i="8"/>
  <c r="P55" i="8"/>
  <c r="O55" i="8" s="1"/>
  <c r="M54" i="8"/>
  <c r="H55" i="8"/>
  <c r="J55" i="8"/>
  <c r="I55" i="8" s="1"/>
  <c r="F56" i="8"/>
  <c r="G54" i="8"/>
  <c r="G44" i="6"/>
  <c r="F45" i="6"/>
  <c r="H44" i="6"/>
  <c r="M55" i="8" l="1"/>
  <c r="N56" i="8"/>
  <c r="L57" i="8"/>
  <c r="P56" i="8"/>
  <c r="O56" i="8" s="1"/>
  <c r="H56" i="8"/>
  <c r="J56" i="8"/>
  <c r="I56" i="8" s="1"/>
  <c r="F57" i="8"/>
  <c r="G55" i="8"/>
  <c r="H45" i="6"/>
  <c r="G45" i="6"/>
  <c r="F46" i="6"/>
  <c r="P57" i="8" l="1"/>
  <c r="O57" i="8" s="1"/>
  <c r="N57" i="8"/>
  <c r="L58" i="8"/>
  <c r="M56" i="8"/>
  <c r="H57" i="8"/>
  <c r="J57" i="8"/>
  <c r="I57" i="8" s="1"/>
  <c r="F58" i="8"/>
  <c r="G56" i="8"/>
  <c r="G46" i="6"/>
  <c r="F47" i="6"/>
  <c r="H46" i="6"/>
  <c r="N58" i="8" l="1"/>
  <c r="L59" i="8"/>
  <c r="P58" i="8"/>
  <c r="O58" i="8" s="1"/>
  <c r="M57" i="8"/>
  <c r="H58" i="8"/>
  <c r="J58" i="8"/>
  <c r="I58" i="8" s="1"/>
  <c r="F59" i="8"/>
  <c r="G57" i="8"/>
  <c r="H47" i="6"/>
  <c r="F48" i="6"/>
  <c r="G47" i="6"/>
  <c r="M58" i="8" l="1"/>
  <c r="P59" i="8"/>
  <c r="O59" i="8" s="1"/>
  <c r="N59" i="8"/>
  <c r="M59" i="8" s="1"/>
  <c r="L60" i="8"/>
  <c r="H59" i="8"/>
  <c r="J59" i="8"/>
  <c r="I59" i="8" s="1"/>
  <c r="F60" i="8"/>
  <c r="G58" i="8"/>
  <c r="G48" i="6"/>
  <c r="F49" i="6"/>
  <c r="H48" i="6"/>
  <c r="P60" i="8" l="1"/>
  <c r="O60" i="8" s="1"/>
  <c r="N60" i="8"/>
  <c r="L61" i="8"/>
  <c r="H60" i="8"/>
  <c r="J60" i="8"/>
  <c r="I60" i="8" s="1"/>
  <c r="F61" i="8"/>
  <c r="G59" i="8"/>
  <c r="H49" i="6"/>
  <c r="G49" i="6"/>
  <c r="F50" i="6"/>
  <c r="N61" i="8" l="1"/>
  <c r="L62" i="8"/>
  <c r="P61" i="8"/>
  <c r="O61" i="8" s="1"/>
  <c r="M60" i="8"/>
  <c r="H61" i="8"/>
  <c r="J61" i="8"/>
  <c r="I61" i="8" s="1"/>
  <c r="F62" i="8"/>
  <c r="G60" i="8"/>
  <c r="G50" i="6"/>
  <c r="F51" i="6"/>
  <c r="H50" i="6"/>
  <c r="M61" i="8" l="1"/>
  <c r="N62" i="8"/>
  <c r="L63" i="8"/>
  <c r="P62" i="8"/>
  <c r="O62" i="8" s="1"/>
  <c r="H62" i="8"/>
  <c r="J62" i="8"/>
  <c r="I62" i="8" s="1"/>
  <c r="F63" i="8"/>
  <c r="G61" i="8"/>
  <c r="H51" i="6"/>
  <c r="F52" i="6"/>
  <c r="G51" i="6"/>
  <c r="P63" i="8" l="1"/>
  <c r="O63" i="8" s="1"/>
  <c r="N63" i="8"/>
  <c r="L64" i="8"/>
  <c r="M62" i="8"/>
  <c r="H63" i="8"/>
  <c r="J63" i="8"/>
  <c r="I63" i="8" s="1"/>
  <c r="F64" i="8"/>
  <c r="G62" i="8"/>
  <c r="G52" i="6"/>
  <c r="F53" i="6"/>
  <c r="H52" i="6"/>
  <c r="P64" i="8" l="1"/>
  <c r="O64" i="8" s="1"/>
  <c r="N64" i="8"/>
  <c r="M63" i="8"/>
  <c r="H64" i="8"/>
  <c r="J64" i="8"/>
  <c r="I64" i="8" s="1"/>
  <c r="G63" i="8"/>
  <c r="H53" i="6"/>
  <c r="G53" i="6"/>
  <c r="F54" i="6"/>
  <c r="M64" i="8" l="1"/>
  <c r="G64" i="8"/>
  <c r="G54" i="6"/>
  <c r="F55" i="6"/>
  <c r="H54" i="6"/>
  <c r="H55" i="6" l="1"/>
  <c r="F56" i="6"/>
  <c r="G55" i="6"/>
  <c r="G56" i="6" l="1"/>
  <c r="F57" i="6"/>
  <c r="H56" i="6"/>
  <c r="H57" i="6" l="1"/>
  <c r="G57" i="6"/>
  <c r="F58" i="6"/>
  <c r="G58" i="6" l="1"/>
  <c r="F59" i="6"/>
  <c r="H58" i="6"/>
  <c r="H59" i="6" l="1"/>
  <c r="F60" i="6"/>
  <c r="G59" i="6"/>
  <c r="G60" i="6" l="1"/>
  <c r="F61" i="6"/>
  <c r="H60" i="6"/>
  <c r="G61" i="6" l="1"/>
  <c r="F62" i="6"/>
  <c r="H61" i="6"/>
  <c r="H62" i="6" l="1"/>
  <c r="G62" i="6"/>
  <c r="F63" i="6"/>
  <c r="G63" i="6" l="1"/>
  <c r="F64" i="6"/>
  <c r="H63" i="6"/>
  <c r="H64" i="6" l="1"/>
  <c r="G64" i="6"/>
</calcChain>
</file>

<file path=xl/comments1.xml><?xml version="1.0" encoding="utf-8"?>
<comments xmlns="http://schemas.openxmlformats.org/spreadsheetml/2006/main">
  <authors>
    <author>Remote</author>
  </authors>
  <commentList>
    <comment ref="B7" authorId="0" shapeId="0">
      <text>
        <r>
          <rPr>
            <b/>
            <sz val="9"/>
            <color indexed="81"/>
            <rFont val="Tahoma"/>
            <family val="2"/>
          </rPr>
          <t>Remote:</t>
        </r>
        <r>
          <rPr>
            <sz val="9"/>
            <color indexed="81"/>
            <rFont val="Tahoma"/>
            <family val="2"/>
          </rPr>
          <t xml:space="preserve">
(including interest on debt, rental payments, and the IORP deficit reduction contributions)
</t>
        </r>
      </text>
    </comment>
  </commentList>
</comments>
</file>

<file path=xl/sharedStrings.xml><?xml version="1.0" encoding="utf-8"?>
<sst xmlns="http://schemas.openxmlformats.org/spreadsheetml/2006/main" count="310" uniqueCount="125">
  <si>
    <t>INPUT</t>
  </si>
  <si>
    <t>OUTPUT</t>
  </si>
  <si>
    <t>Duration of settlement sponsor support</t>
  </si>
  <si>
    <t>d</t>
  </si>
  <si>
    <r>
      <t>p</t>
    </r>
    <r>
      <rPr>
        <i/>
        <vertAlign val="subscript"/>
        <sz val="11"/>
        <color theme="1"/>
        <rFont val="Calibri"/>
        <family val="2"/>
        <scheme val="minor"/>
      </rPr>
      <t>def</t>
    </r>
  </si>
  <si>
    <t>Sponsor default risk (annual probability)</t>
  </si>
  <si>
    <t>#</t>
  </si>
  <si>
    <t>Z</t>
  </si>
  <si>
    <t>y</t>
  </si>
  <si>
    <t>Liabilities sponsor towards IORP</t>
  </si>
  <si>
    <t>Total</t>
  </si>
  <si>
    <t>contributions</t>
  </si>
  <si>
    <t>Year</t>
  </si>
  <si>
    <t xml:space="preserve">Discount </t>
  </si>
  <si>
    <t>factor</t>
  </si>
  <si>
    <r>
      <t>Lim</t>
    </r>
    <r>
      <rPr>
        <i/>
        <vertAlign val="superscript"/>
        <sz val="11"/>
        <color theme="1"/>
        <rFont val="Calibri"/>
        <family val="2"/>
        <scheme val="minor"/>
      </rPr>
      <t>Mss</t>
    </r>
  </si>
  <si>
    <t>Limit to maximum sponsor support</t>
  </si>
  <si>
    <t>Mss</t>
  </si>
  <si>
    <t>INFORMATION</t>
  </si>
  <si>
    <t>ξ</t>
  </si>
  <si>
    <t>Proportion of Z available for the IORP</t>
  </si>
  <si>
    <t>Wealth/surplus of the sponsor</t>
  </si>
  <si>
    <t>Discount</t>
  </si>
  <si>
    <t xml:space="preserve">rate </t>
  </si>
  <si>
    <r>
      <t>i</t>
    </r>
    <r>
      <rPr>
        <i/>
        <vertAlign val="subscript"/>
        <sz val="11"/>
        <color theme="1"/>
        <rFont val="Calibri"/>
        <family val="2"/>
        <scheme val="minor"/>
      </rPr>
      <t>t</t>
    </r>
  </si>
  <si>
    <t>(i)</t>
  </si>
  <si>
    <t>(ii)</t>
  </si>
  <si>
    <r>
      <t>EC</t>
    </r>
    <r>
      <rPr>
        <i/>
        <vertAlign val="subscript"/>
        <sz val="11"/>
        <color theme="1"/>
        <rFont val="Calibri"/>
        <family val="2"/>
        <scheme val="minor"/>
      </rPr>
      <t>t</t>
    </r>
    <r>
      <rPr>
        <i/>
        <sz val="11"/>
        <color theme="1"/>
        <rFont val="Calibri"/>
        <family val="2"/>
        <scheme val="minor"/>
      </rPr>
      <t xml:space="preserve"> =(i) + (ii)</t>
    </r>
  </si>
  <si>
    <t xml:space="preserve">Proportion of </t>
  </si>
  <si>
    <t xml:space="preserve">expected </t>
  </si>
  <si>
    <t xml:space="preserve">future </t>
  </si>
  <si>
    <t>cash flows</t>
  </si>
  <si>
    <t>plan</t>
  </si>
  <si>
    <t xml:space="preserve">Recovery </t>
  </si>
  <si>
    <t>Discounted</t>
  </si>
  <si>
    <t>cash flow</t>
  </si>
  <si>
    <t>Value of investment assets</t>
  </si>
  <si>
    <t>Duration of sponsor support settlement (years)</t>
  </si>
  <si>
    <t xml:space="preserve">Value of technical provisions </t>
  </si>
  <si>
    <t>Annual probability of default of the sponsor</t>
  </si>
  <si>
    <t>Recovery rate in case of default</t>
  </si>
  <si>
    <t>Relative standard deviation of assets</t>
  </si>
  <si>
    <t>Relative standard deviation of technical provisions</t>
  </si>
  <si>
    <t>Adjustment factor for default risk</t>
  </si>
  <si>
    <t>Correlation between assets and liabilities</t>
  </si>
  <si>
    <t>Support needed - mean</t>
  </si>
  <si>
    <t>Support needed - standard deviation</t>
  </si>
  <si>
    <t>Maximum sponsor support</t>
  </si>
  <si>
    <t>Possibility to withdraw assets / reduce contributions</t>
  </si>
  <si>
    <t>YES</t>
  </si>
  <si>
    <t>Probability of exceeding the maximum support</t>
  </si>
  <si>
    <t>Expected shortfall over maximum support</t>
  </si>
  <si>
    <t>Expected shortfall below 0</t>
  </si>
  <si>
    <t>Adjustment to the average support</t>
  </si>
  <si>
    <t>Expected value of sponsor support without default</t>
  </si>
  <si>
    <t>Corresponds to the value, under the valuation rules for the common balance sheet, of financial assets</t>
  </si>
  <si>
    <t>Value of technical provisions</t>
  </si>
  <si>
    <t>Corresponds to the technical provisions (including the risk margin), as calculated under the valuation rules for the common balance sheet</t>
  </si>
  <si>
    <t>Corresponds to the ratio between the standard deviation of the value of assets and the value itself. The RSD value shall be non-negative.
The relative standard deviation depends on the actual composition of the portfolio of assets:
- for a pure risk free asset, the RSD is 0
- for a fixed income bond, it might be between 0 and 25%, depending on the rating of the bond
- for equity, it might be between 40% and 60%
Default value proposed: 30%</t>
  </si>
  <si>
    <t>This parameter, between -100% and 100%, aims at capturing how the value of assets and pension liabilities vary together.
For a pure non-profit DB scheme, without any possibility of reduction of benefits, this parameter should be 0.
For a pure DC scheme, this value should be 100%.
For DB schemes with some profit and loss arrangement, the value should be in-between, depending on the part of variance of technical provisions explained by financial profit sharing within the global variance of technical provisions.
Default value proposed: 30%</t>
  </si>
  <si>
    <t>This parameter should be set to "YES" if the the sponsor is able, in some circumstances (and in particular in a case of overfunding), to reduce its contribution to the IORP, or to withdraw assets from the IORP.</t>
  </si>
  <si>
    <t>Corresponds to the ratio between the standard deviation of technical provisions and technical provisions itself. The RSD value shall be non-negative.
The relative standard deviation should take into account all elements of uncertainty in technical provisions:
- actual mortality rates vs. theoretical rates used for the best estimate calculation
- sampling error
- actual rates of expense vs. theoretical ones used for the best estimate calculation
- profit sharing and conditional benefits
IORPs implementing a stochastic calculation of their best estimates can use their simulation results to derive this input.
Default value proposed: 10%</t>
  </si>
  <si>
    <t xml:space="preserve">INFORMATION </t>
  </si>
  <si>
    <t>Value reduction benefits in case of sponsor default (without pension protection scheme)</t>
  </si>
  <si>
    <t>Value sponsor support without default risk</t>
  </si>
  <si>
    <t>Difference calculated and maximum value sponsor support (if &gt; 0)</t>
  </si>
  <si>
    <t xml:space="preserve">Value of sponsor support </t>
  </si>
  <si>
    <r>
      <t>SS</t>
    </r>
    <r>
      <rPr>
        <i/>
        <vertAlign val="subscript"/>
        <sz val="11"/>
        <color theme="1"/>
        <rFont val="Calibri"/>
        <family val="2"/>
        <scheme val="minor"/>
      </rPr>
      <t>FV</t>
    </r>
  </si>
  <si>
    <t>Recovery rate sponsor support on default</t>
  </si>
  <si>
    <t>RR</t>
  </si>
  <si>
    <t>Value maximum sponsor support</t>
  </si>
  <si>
    <r>
      <t>M</t>
    </r>
    <r>
      <rPr>
        <i/>
        <vertAlign val="subscript"/>
        <sz val="10"/>
        <color theme="1"/>
        <rFont val="Calibri"/>
        <family val="2"/>
        <scheme val="minor"/>
      </rPr>
      <t>SS</t>
    </r>
  </si>
  <si>
    <t>Value technical provisions</t>
  </si>
  <si>
    <t>TP</t>
  </si>
  <si>
    <t>Value financial assets</t>
  </si>
  <si>
    <t>A</t>
  </si>
  <si>
    <t>SS</t>
  </si>
  <si>
    <t>INTERMEDIATE RESULT</t>
  </si>
  <si>
    <t>INTERMEDIATE RESULTS</t>
  </si>
  <si>
    <t xml:space="preserve">Maximum sponsor support </t>
  </si>
  <si>
    <t>- This helper tab assists participants in calculating the maximum value of sponsor support according to the simplification described in the technical specifications for the common balance sheet.
- Participants should enter the five input variables in the table above and the expected cash flows and interest rate term structure until year d in the table to the right. The expected cash flows consists of (i) the current recovery plan contributions and (ii) the fixed percentage of expected cash flows of the sponsor. The participant may choose the most appropriate definition of cash flows.                                                                                                                                                                                                      - The outcome of the method is provided in the output cell above.</t>
  </si>
  <si>
    <t>Annuity factor</t>
  </si>
  <si>
    <t xml:space="preserve">Net discount rate </t>
  </si>
  <si>
    <t xml:space="preserve">Annual probability of survival </t>
  </si>
  <si>
    <t>Annual probability of default</t>
  </si>
  <si>
    <t xml:space="preserve">Annual contribution </t>
  </si>
  <si>
    <t xml:space="preserve">Annuity factor </t>
  </si>
  <si>
    <t>Discount rate corresponding to the duration of the benefits</t>
  </si>
  <si>
    <t xml:space="preserve">3. Annual level of contributions </t>
  </si>
  <si>
    <t xml:space="preserve">Recovery Plan period </t>
  </si>
  <si>
    <t>2. Period to meet shortfall (years)</t>
  </si>
  <si>
    <t xml:space="preserve">Sponsor strength </t>
  </si>
  <si>
    <t>-</t>
  </si>
  <si>
    <t xml:space="preserve">      Or input S&amp;P equivalent credit rating </t>
  </si>
  <si>
    <t xml:space="preserve">       Or input credit step</t>
  </si>
  <si>
    <t>Calculated credit step</t>
  </si>
  <si>
    <t xml:space="preserve">Asset cover </t>
  </si>
  <si>
    <t>Income cover</t>
  </si>
  <si>
    <t>Deficit in the common balance sheet</t>
  </si>
  <si>
    <t xml:space="preserve">Annual service cost </t>
  </si>
  <si>
    <t>Net Asset value of the sponsor</t>
  </si>
  <si>
    <t xml:space="preserve">EBITDA </t>
  </si>
  <si>
    <t>1. Sponsor strength</t>
  </si>
  <si>
    <t>For information: Value of sponsor support ( as % of shortfall)</t>
  </si>
  <si>
    <t xml:space="preserve">4. Other intermediate results </t>
  </si>
  <si>
    <t>Value reduction benefits in case of sponsor default (with pension protection scheme)</t>
  </si>
  <si>
    <r>
      <t>PPF</t>
    </r>
    <r>
      <rPr>
        <i/>
        <vertAlign val="subscript"/>
        <sz val="11"/>
        <color theme="1"/>
        <rFont val="Calibri"/>
        <family val="2"/>
        <scheme val="minor"/>
      </rPr>
      <t>FV</t>
    </r>
  </si>
  <si>
    <t>Difference between calculated and maximum value of sponsor support (if &gt; 0)</t>
  </si>
  <si>
    <t>Coverage rate pension protection scheme (% technical provisions)</t>
  </si>
  <si>
    <t>CR</t>
  </si>
  <si>
    <t>Value of pension protection scheme</t>
  </si>
  <si>
    <t>Value pension protection scheme (100% coverage rate)</t>
  </si>
  <si>
    <t>Simplification 1 - Valuation of sponsor support (Simplified distribution approach)</t>
  </si>
  <si>
    <t>Simplification 2 - Valuation of sponsor support (deterministic cash flow with credit haircut)</t>
  </si>
  <si>
    <t>Simplification - Value of Pension Protection Scheme</t>
  </si>
  <si>
    <t>Simplification - Maximum Value of Sponsor Support</t>
  </si>
  <si>
    <t xml:space="preserve">- This helper tab assists participants in calculating the value of sponsor support using simplification 2 as described in the technical specifications for the common balance sheet.                                                                                                                                                     - Participants should provide the six input variables in the table above, which are defined in the technical specifications.                                                                                                                                                                                                    - The value of sponsor support generated by the spreadsheet will be shown in the output table above. The value of sponsor support is already limited to the maximum sponsor support, if maximum sponsor support is lower than the calculated value. The haircut applied is reported in cell C15 and will be needed - if applicable - to establish the value of the pension protection scheme.
- The spreadsheet generates one additional figure that may be helpful for participants if relevant for their situation according to the technical specifications: the value of a reduction in benefits in case of sponsor default when there is no pension protection scheme, according to 2.5.55 (b) of the technical specifications for the common balance sheet.                                                                                                                                                                  </t>
  </si>
  <si>
    <t>Simplification 3 - Valuation of sponsor support (ASA)</t>
  </si>
  <si>
    <t>This simplification is explained in paragraphs 2.7.35 ff. of technical specifications for the common balance sheet</t>
  </si>
  <si>
    <t xml:space="preserve">IORPs are free to choose the most appropriate approach to the valuation of Maximum sponsor support (see technical specifications for the common balance sheet, 2.7.27 to 2.7.40, for the different possible approaches). </t>
  </si>
  <si>
    <t xml:space="preserve">- This helper tab assists participants in calculating the value of the pension protection scheme on the common balance sheet using the simplification described in the technical specifications for the common balance sheet.                                                                                                                                                                                - Participants should provide the seven input variables in the table above, which are defined in the technical specifications.
- The value of the pension protection scheme generated by the spreadsheet will be shown in the output table above. The value of the pension protection scheme already includes the difference between the calculated and maximum value of sponsor support, as explained in par. 2.8.14 of the technical specifications for the common balance sheet.  This difference has to be inserted by participants in cell C11 above.                                                                                                                                                                                           - The spreadsheet also generates the value of a reduction of benefits in case of sponsor default when there is a pension protection scheme in place, according to 2.5.55 (a) of the technical specifications for the common balance sheet, which may be helpful for participants, if relevant for their situation.                                                                                                                                                                                                                                                       </t>
  </si>
  <si>
    <t>This simplification is explained in paragraphs 2.7.56 ff. of the annex to the stress test specifications common balance sheet</t>
  </si>
  <si>
    <t>This simplification is explained in paragraphs 2.7.62 ff. of the annex to the stress test specifications common balance sheet</t>
  </si>
  <si>
    <t>This simplification is explained in paragraphs 2.7.71 ff. of the annex to the stress test specifications common balance sheet</t>
  </si>
  <si>
    <t>This simplification is explained in paragraphs 2.8.9 ff. of the annex to the stress test specifications common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</si>
</sst>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0000"/>
    <numFmt numFmtId="167" formatCode="0.0"/>
    <numFmt numFmtId="168" formatCode="#,##0.000"/>
    <numFmt numFmtId="169" formatCode="[$-F800]dddd\,\ mmmm\ dd\,\ yyyy"/>
  </numFmts>
  <fonts count="26" x14ac:knownFonts="1">
    <font>
      <sz val="11"/>
      <color theme="1"/>
      <name val="Calibri"/>
      <family val="2"/>
      <scheme val="minor"/>
    </font>
    <font>
      <i/>
      <sz val="11"/>
      <color theme="1"/>
      <name val="Calibri"/>
      <family val="2"/>
      <scheme val="minor"/>
    </font>
    <font>
      <i/>
      <vertAlign val="subscript"/>
      <sz val="11"/>
      <color theme="1"/>
      <name val="Calibri"/>
      <family val="2"/>
      <scheme val="minor"/>
    </font>
    <font>
      <b/>
      <sz val="11"/>
      <color theme="0"/>
      <name val="Calibri"/>
      <family val="2"/>
      <scheme val="minor"/>
    </font>
    <font>
      <sz val="10"/>
      <name val="Arial"/>
      <family val="2"/>
    </font>
    <font>
      <sz val="12"/>
      <name val="Arial"/>
      <family val="2"/>
    </font>
    <font>
      <sz val="10"/>
      <color theme="1"/>
      <name val="Calibri"/>
      <family val="2"/>
      <scheme val="minor"/>
    </font>
    <font>
      <i/>
      <vertAlign val="superscrip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sz val="8.8000000000000007"/>
      <color rgb="FF000000"/>
      <name val="Arial"/>
      <family val="2"/>
    </font>
    <font>
      <sz val="11"/>
      <name val="Calibri"/>
      <family val="2"/>
      <scheme val="minor"/>
    </font>
    <font>
      <strike/>
      <sz val="10"/>
      <color theme="1"/>
      <name val="Calibri"/>
      <family val="2"/>
      <scheme val="minor"/>
    </font>
    <font>
      <strike/>
      <sz val="11"/>
      <color theme="1"/>
      <name val="Calibri"/>
      <family val="2"/>
      <scheme val="minor"/>
    </font>
    <font>
      <i/>
      <strike/>
      <sz val="11"/>
      <color theme="1"/>
      <name val="Calibri"/>
      <family val="2"/>
      <scheme val="minor"/>
    </font>
    <font>
      <i/>
      <vertAlign val="subscript"/>
      <sz val="10"/>
      <color theme="1"/>
      <name val="Calibri"/>
      <family val="2"/>
      <scheme val="minor"/>
    </font>
    <font>
      <i/>
      <u/>
      <sz val="11"/>
      <color theme="1"/>
      <name val="Calibri"/>
      <family val="2"/>
      <scheme val="minor"/>
    </font>
    <font>
      <b/>
      <i/>
      <sz val="11"/>
      <color theme="1"/>
      <name val="Calibri"/>
      <family val="2"/>
      <scheme val="minor"/>
    </font>
    <font>
      <sz val="19"/>
      <color rgb="FF2B2B2B"/>
      <name val="Arial"/>
      <family val="2"/>
    </font>
    <font>
      <b/>
      <sz val="10"/>
      <color theme="1"/>
      <name val="Calibri"/>
      <family val="2"/>
      <scheme val="minor"/>
    </font>
    <font>
      <sz val="10"/>
      <color rgb="FF333333"/>
      <name val="Verdana"/>
      <family val="2"/>
    </font>
    <font>
      <b/>
      <sz val="9"/>
      <color indexed="81"/>
      <name val="Tahoma"/>
      <family val="2"/>
    </font>
    <font>
      <sz val="9"/>
      <color indexed="81"/>
      <name val="Tahoma"/>
      <family val="2"/>
    </font>
    <font>
      <sz val="11"/>
      <color rgb="FFFF0000"/>
      <name val="Calibri"/>
      <family val="2"/>
      <scheme val="minor"/>
    </font>
  </fonts>
  <fills count="13">
    <fill>
      <patternFill patternType="none"/>
    </fill>
    <fill>
      <patternFill patternType="gray125"/>
    </fill>
    <fill>
      <patternFill patternType="solid">
        <fgColor theme="4"/>
        <bgColor indexed="64"/>
      </patternFill>
    </fill>
    <fill>
      <patternFill patternType="solid">
        <fgColor indexed="42"/>
        <bgColor indexed="64"/>
      </patternFill>
    </fill>
    <fill>
      <patternFill patternType="solid">
        <fgColor indexed="40"/>
        <bgColor indexed="64"/>
      </patternFill>
    </fill>
    <fill>
      <patternFill patternType="gray0625"/>
    </fill>
    <fill>
      <patternFill patternType="solid">
        <fgColor theme="0" tint="-0.249977111117893"/>
        <bgColor indexed="64"/>
      </patternFill>
    </fill>
    <fill>
      <patternFill patternType="solid">
        <fgColor indexed="26"/>
        <bgColor indexed="64"/>
      </patternFill>
    </fill>
    <fill>
      <patternFill patternType="solid">
        <fgColor indexed="41"/>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s>
  <borders count="20">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1">
    <xf numFmtId="0" fontId="0" fillId="0" borderId="0"/>
    <xf numFmtId="0" fontId="4" fillId="3" borderId="10" applyNumberFormat="0" applyFont="0" applyBorder="0" applyAlignment="0">
      <alignment horizontal="center" wrapText="1"/>
    </xf>
    <xf numFmtId="0" fontId="5" fillId="4" borderId="1" applyNumberFormat="0" applyFont="0" applyBorder="0" applyAlignment="0"/>
    <xf numFmtId="0" fontId="4" fillId="5" borderId="0" applyBorder="0"/>
    <xf numFmtId="3" fontId="6" fillId="7" borderId="0" applyBorder="0" applyProtection="0">
      <alignment horizontal="right" vertical="center"/>
    </xf>
    <xf numFmtId="3" fontId="6" fillId="8" borderId="0" applyBorder="0">
      <alignment horizontal="right" vertical="center"/>
      <protection locked="0"/>
    </xf>
    <xf numFmtId="9" fontId="8" fillId="0" borderId="0" applyFont="0" applyFill="0" applyBorder="0" applyAlignment="0" applyProtection="0"/>
    <xf numFmtId="0" fontId="4" fillId="5" borderId="0" applyBorder="0"/>
    <xf numFmtId="3" fontId="6" fillId="7" borderId="0" applyBorder="0" applyProtection="0">
      <alignment horizontal="right" vertical="center"/>
    </xf>
    <xf numFmtId="3" fontId="6" fillId="8" borderId="0" applyBorder="0">
      <alignment horizontal="right" vertical="center"/>
      <protection locked="0"/>
    </xf>
    <xf numFmtId="3" fontId="6" fillId="12" borderId="0" applyBorder="0" applyAlignment="0">
      <alignment horizontal="right"/>
    </xf>
  </cellStyleXfs>
  <cellXfs count="198">
    <xf numFmtId="0" fontId="0" fillId="0" borderId="0" xfId="0"/>
    <xf numFmtId="0" fontId="0" fillId="0" borderId="1" xfId="0" applyBorder="1"/>
    <xf numFmtId="0" fontId="1" fillId="0" borderId="0" xfId="0" applyFont="1"/>
    <xf numFmtId="0" fontId="0" fillId="0" borderId="4" xfId="0" applyBorder="1"/>
    <xf numFmtId="0" fontId="0" fillId="2" borderId="6" xfId="0" applyFill="1" applyBorder="1"/>
    <xf numFmtId="0" fontId="3" fillId="2" borderId="5" xfId="0" applyFont="1" applyFill="1" applyBorder="1"/>
    <xf numFmtId="0" fontId="0" fillId="6" borderId="0" xfId="0" applyFill="1" applyAlignment="1">
      <alignment horizontal="center"/>
    </xf>
    <xf numFmtId="0" fontId="0" fillId="0" borderId="0" xfId="0" applyAlignment="1">
      <alignment horizontal="center"/>
    </xf>
    <xf numFmtId="3" fontId="6" fillId="8" borderId="11" xfId="5" applyBorder="1">
      <alignment horizontal="right" vertical="center"/>
      <protection locked="0"/>
    </xf>
    <xf numFmtId="3" fontId="6" fillId="8" borderId="8" xfId="5" applyBorder="1">
      <alignment horizontal="right" vertical="center"/>
      <protection locked="0"/>
    </xf>
    <xf numFmtId="164" fontId="6" fillId="8" borderId="8" xfId="5" applyNumberFormat="1" applyBorder="1">
      <alignment horizontal="right" vertical="center"/>
      <protection locked="0"/>
    </xf>
    <xf numFmtId="3" fontId="6" fillId="7" borderId="11" xfId="4" applyBorder="1">
      <alignment horizontal="right" vertical="center"/>
    </xf>
    <xf numFmtId="3" fontId="6" fillId="7" borderId="7" xfId="4" applyBorder="1">
      <alignment horizontal="right" vertical="center"/>
    </xf>
    <xf numFmtId="0" fontId="1" fillId="0" borderId="0" xfId="0" applyFont="1" applyFill="1" applyBorder="1"/>
    <xf numFmtId="0" fontId="0" fillId="0" borderId="13" xfId="0" applyBorder="1" applyAlignment="1">
      <alignment horizontal="center"/>
    </xf>
    <xf numFmtId="0" fontId="0" fillId="0" borderId="11" xfId="0" applyBorder="1"/>
    <xf numFmtId="0" fontId="0" fillId="0" borderId="8" xfId="0" applyBorder="1"/>
    <xf numFmtId="0" fontId="0" fillId="0" borderId="7" xfId="0" applyBorder="1"/>
    <xf numFmtId="0" fontId="0" fillId="0" borderId="11" xfId="0" applyBorder="1" applyAlignment="1">
      <alignment horizontal="right"/>
    </xf>
    <xf numFmtId="0" fontId="0" fillId="0" borderId="0" xfId="0" applyFill="1"/>
    <xf numFmtId="0" fontId="0" fillId="2" borderId="15" xfId="0" applyFill="1" applyBorder="1"/>
    <xf numFmtId="0" fontId="3" fillId="2" borderId="15" xfId="0" applyFont="1" applyFill="1" applyBorder="1"/>
    <xf numFmtId="3" fontId="6" fillId="8" borderId="7" xfId="5" applyBorder="1">
      <alignment horizontal="right" vertical="center"/>
      <protection locked="0"/>
    </xf>
    <xf numFmtId="0" fontId="0" fillId="0" borderId="8" xfId="0" applyFill="1" applyBorder="1"/>
    <xf numFmtId="0" fontId="0" fillId="0" borderId="7" xfId="0" applyFill="1" applyBorder="1"/>
    <xf numFmtId="2" fontId="0" fillId="0" borderId="0" xfId="0" applyNumberFormat="1"/>
    <xf numFmtId="0" fontId="0" fillId="2" borderId="9" xfId="0" applyFill="1" applyBorder="1"/>
    <xf numFmtId="0" fontId="3" fillId="2" borderId="6" xfId="0" applyFont="1" applyFill="1" applyBorder="1"/>
    <xf numFmtId="9" fontId="6" fillId="8" borderId="8" xfId="5" applyNumberFormat="1" applyBorder="1">
      <alignment horizontal="right" vertical="center"/>
      <protection locked="0"/>
    </xf>
    <xf numFmtId="0" fontId="0" fillId="0" borderId="0" xfId="0" applyBorder="1" applyAlignment="1">
      <alignment horizontal="center"/>
    </xf>
    <xf numFmtId="0" fontId="0" fillId="0" borderId="10" xfId="0" applyBorder="1"/>
    <xf numFmtId="0" fontId="1" fillId="0" borderId="10" xfId="0" quotePrefix="1" applyFont="1" applyFill="1" applyBorder="1" applyAlignment="1">
      <alignment horizontal="center"/>
    </xf>
    <xf numFmtId="0" fontId="0" fillId="0" borderId="8" xfId="0" applyBorder="1" applyAlignment="1">
      <alignment horizontal="center"/>
    </xf>
    <xf numFmtId="3" fontId="6" fillId="7" borderId="8" xfId="4" applyBorder="1">
      <alignment horizontal="right" vertical="center"/>
    </xf>
    <xf numFmtId="0" fontId="1" fillId="0" borderId="10" xfId="0" applyFont="1" applyBorder="1" applyAlignment="1">
      <alignment horizontal="center"/>
    </xf>
    <xf numFmtId="9" fontId="0" fillId="0" borderId="8" xfId="0" applyNumberFormat="1" applyBorder="1" applyAlignment="1">
      <alignment horizontal="center"/>
    </xf>
    <xf numFmtId="4" fontId="6" fillId="7" borderId="0" xfId="4" applyNumberFormat="1" applyBorder="1">
      <alignment horizontal="right" vertical="center"/>
    </xf>
    <xf numFmtId="4" fontId="6" fillId="7" borderId="13" xfId="4" applyNumberFormat="1" applyBorder="1">
      <alignment horizontal="right" vertical="center"/>
    </xf>
    <xf numFmtId="0" fontId="1" fillId="0" borderId="10" xfId="0" quotePrefix="1" applyFont="1"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12" xfId="0" applyFill="1" applyBorder="1" applyAlignment="1">
      <alignment horizontal="center"/>
    </xf>
    <xf numFmtId="0" fontId="0" fillId="0" borderId="11" xfId="0" applyFill="1" applyBorder="1" applyAlignment="1">
      <alignment horizontal="center"/>
    </xf>
    <xf numFmtId="0" fontId="0" fillId="0" borderId="0" xfId="0" applyNumberFormat="1"/>
    <xf numFmtId="0" fontId="0" fillId="0" borderId="0" xfId="0" applyBorder="1"/>
    <xf numFmtId="3" fontId="11" fillId="0" borderId="0" xfId="4" applyFont="1" applyFill="1" applyBorder="1">
      <alignment horizontal="right" vertical="center"/>
    </xf>
    <xf numFmtId="0" fontId="0" fillId="0" borderId="5" xfId="0" applyBorder="1"/>
    <xf numFmtId="0" fontId="0" fillId="0" borderId="0" xfId="0" applyFill="1" applyBorder="1"/>
    <xf numFmtId="166" fontId="0" fillId="0" borderId="0" xfId="0" applyNumberFormat="1"/>
    <xf numFmtId="165" fontId="0" fillId="0" borderId="0" xfId="0" applyNumberFormat="1"/>
    <xf numFmtId="0" fontId="12" fillId="0" borderId="0" xfId="0" applyFont="1"/>
    <xf numFmtId="0" fontId="0" fillId="9" borderId="11" xfId="0" applyFill="1" applyBorder="1"/>
    <xf numFmtId="165" fontId="0" fillId="9" borderId="9" xfId="0" applyNumberFormat="1" applyFill="1" applyBorder="1"/>
    <xf numFmtId="0" fontId="0" fillId="9" borderId="8" xfId="0" applyFill="1" applyBorder="1"/>
    <xf numFmtId="9" fontId="0" fillId="9" borderId="3" xfId="0" applyNumberFormat="1" applyFill="1" applyBorder="1"/>
    <xf numFmtId="0" fontId="0" fillId="9" borderId="7" xfId="0" applyFill="1" applyBorder="1"/>
    <xf numFmtId="9" fontId="0" fillId="9" borderId="14" xfId="0" applyNumberFormat="1" applyFill="1" applyBorder="1"/>
    <xf numFmtId="0" fontId="0" fillId="9" borderId="1" xfId="0" applyFill="1" applyBorder="1"/>
    <xf numFmtId="3" fontId="6" fillId="9" borderId="11" xfId="5" applyFill="1" applyBorder="1">
      <alignment horizontal="right" vertical="center"/>
      <protection locked="0"/>
    </xf>
    <xf numFmtId="3" fontId="6" fillId="10" borderId="10" xfId="4" applyFill="1" applyBorder="1">
      <alignment horizontal="right" vertical="center"/>
    </xf>
    <xf numFmtId="0" fontId="0" fillId="10" borderId="11" xfId="0" applyFill="1" applyBorder="1"/>
    <xf numFmtId="0" fontId="0" fillId="10" borderId="7" xfId="0" applyFill="1" applyBorder="1"/>
    <xf numFmtId="164" fontId="0" fillId="10" borderId="9" xfId="0" applyNumberFormat="1" applyFill="1" applyBorder="1"/>
    <xf numFmtId="0" fontId="0" fillId="10" borderId="8" xfId="0" applyFill="1" applyBorder="1"/>
    <xf numFmtId="165" fontId="0" fillId="10" borderId="3" xfId="0" applyNumberFormat="1" applyFill="1" applyBorder="1"/>
    <xf numFmtId="165" fontId="9" fillId="10" borderId="6" xfId="0" applyNumberFormat="1" applyFont="1" applyFill="1" applyBorder="1"/>
    <xf numFmtId="0" fontId="9" fillId="0" borderId="0" xfId="0" applyFont="1" applyFill="1" applyBorder="1"/>
    <xf numFmtId="0" fontId="3" fillId="2" borderId="1" xfId="0" applyFont="1" applyFill="1" applyBorder="1"/>
    <xf numFmtId="0" fontId="0" fillId="0" borderId="2" xfId="0" applyFill="1" applyBorder="1"/>
    <xf numFmtId="0" fontId="0" fillId="0" borderId="3" xfId="0" applyBorder="1"/>
    <xf numFmtId="0" fontId="0" fillId="0" borderId="0" xfId="0" applyFill="1" applyAlignment="1">
      <alignment horizontal="center"/>
    </xf>
    <xf numFmtId="3" fontId="14" fillId="0" borderId="0" xfId="4" applyFont="1" applyFill="1" applyBorder="1">
      <alignment horizontal="right" vertical="center"/>
    </xf>
    <xf numFmtId="0" fontId="15" fillId="0" borderId="0" xfId="0" applyFont="1" applyFill="1" applyBorder="1"/>
    <xf numFmtId="0" fontId="16" fillId="0" borderId="0" xfId="0" applyFont="1"/>
    <xf numFmtId="0" fontId="0" fillId="0" borderId="2" xfId="0" applyBorder="1"/>
    <xf numFmtId="0" fontId="4" fillId="5" borderId="3" xfId="3" applyBorder="1"/>
    <xf numFmtId="0" fontId="4" fillId="5" borderId="2" xfId="3" applyBorder="1"/>
    <xf numFmtId="165" fontId="6" fillId="7" borderId="11" xfId="4" applyNumberFormat="1" applyBorder="1">
      <alignment horizontal="right" vertical="center"/>
    </xf>
    <xf numFmtId="9" fontId="0" fillId="2" borderId="9" xfId="0" applyNumberFormat="1" applyFill="1" applyBorder="1"/>
    <xf numFmtId="164" fontId="0" fillId="0" borderId="0" xfId="0" applyNumberFormat="1"/>
    <xf numFmtId="167" fontId="0" fillId="0" borderId="0" xfId="0" applyNumberFormat="1"/>
    <xf numFmtId="0" fontId="0" fillId="0" borderId="0" xfId="0" applyBorder="1" applyAlignment="1">
      <alignment horizontal="right"/>
    </xf>
    <xf numFmtId="9" fontId="6" fillId="8" borderId="7" xfId="5" applyNumberFormat="1" applyBorder="1">
      <alignment horizontal="right" vertical="center"/>
      <protection locked="0"/>
    </xf>
    <xf numFmtId="9" fontId="0" fillId="0" borderId="0" xfId="0" applyNumberFormat="1"/>
    <xf numFmtId="0" fontId="0" fillId="0" borderId="0" xfId="0" applyAlignment="1">
      <alignment horizontal="right"/>
    </xf>
    <xf numFmtId="9" fontId="9" fillId="0" borderId="0" xfId="0" applyNumberFormat="1" applyFont="1"/>
    <xf numFmtId="0" fontId="0" fillId="0" borderId="3" xfId="0" applyFill="1" applyBorder="1"/>
    <xf numFmtId="0" fontId="9" fillId="0" borderId="2" xfId="0" applyFont="1" applyFill="1" applyBorder="1"/>
    <xf numFmtId="0" fontId="9" fillId="0" borderId="3" xfId="0" applyFont="1" applyFill="1" applyBorder="1"/>
    <xf numFmtId="0" fontId="0" fillId="0" borderId="3" xfId="0" applyFill="1" applyBorder="1" applyAlignment="1">
      <alignment wrapText="1"/>
    </xf>
    <xf numFmtId="0" fontId="0" fillId="0" borderId="2" xfId="0" applyFill="1" applyBorder="1" applyAlignment="1">
      <alignment vertical="top" wrapText="1"/>
    </xf>
    <xf numFmtId="0" fontId="0" fillId="0" borderId="0" xfId="0" applyFill="1" applyBorder="1" applyAlignment="1">
      <alignment vertical="top" wrapText="1"/>
    </xf>
    <xf numFmtId="0" fontId="0" fillId="0" borderId="3" xfId="0" applyFill="1" applyBorder="1" applyAlignment="1">
      <alignment vertical="top" wrapText="1"/>
    </xf>
    <xf numFmtId="0" fontId="13" fillId="0" borderId="3" xfId="0" applyFont="1" applyFill="1" applyBorder="1" applyAlignment="1">
      <alignment vertical="top" wrapText="1"/>
    </xf>
    <xf numFmtId="0" fontId="0" fillId="9" borderId="2" xfId="0" applyFill="1" applyBorder="1"/>
    <xf numFmtId="165" fontId="0" fillId="9" borderId="8" xfId="0" applyNumberFormat="1" applyFill="1" applyBorder="1"/>
    <xf numFmtId="9" fontId="0" fillId="9" borderId="2" xfId="0" applyNumberFormat="1" applyFill="1" applyBorder="1"/>
    <xf numFmtId="0" fontId="0" fillId="10" borderId="10" xfId="0" applyFont="1" applyFill="1" applyBorder="1"/>
    <xf numFmtId="165" fontId="0" fillId="10" borderId="7" xfId="0" applyNumberFormat="1" applyFont="1" applyFill="1" applyBorder="1"/>
    <xf numFmtId="0" fontId="9" fillId="0" borderId="2" xfId="0" applyFont="1" applyFill="1" applyBorder="1" applyAlignment="1">
      <alignment vertical="top"/>
    </xf>
    <xf numFmtId="0" fontId="0" fillId="11" borderId="0" xfId="0" applyFill="1"/>
    <xf numFmtId="0" fontId="18" fillId="0" borderId="13" xfId="0" applyFont="1" applyFill="1" applyBorder="1" applyAlignment="1">
      <alignment horizontal="left"/>
    </xf>
    <xf numFmtId="0" fontId="1" fillId="0" borderId="4" xfId="0" applyFont="1" applyFill="1" applyBorder="1" applyAlignment="1">
      <alignment horizontal="left"/>
    </xf>
    <xf numFmtId="0" fontId="19" fillId="0" borderId="2" xfId="0" applyFont="1" applyFill="1" applyBorder="1"/>
    <xf numFmtId="0" fontId="1" fillId="0" borderId="0" xfId="0" applyFont="1" applyFill="1" applyBorder="1" applyAlignment="1">
      <alignment horizontal="left"/>
    </xf>
    <xf numFmtId="0" fontId="0" fillId="0" borderId="0" xfId="0" applyBorder="1" applyAlignment="1">
      <alignment horizontal="left" vertical="center"/>
    </xf>
    <xf numFmtId="0" fontId="0" fillId="0" borderId="2" xfId="0" applyBorder="1" applyAlignment="1">
      <alignment horizontal="left" vertical="center"/>
    </xf>
    <xf numFmtId="0" fontId="20" fillId="0" borderId="0" xfId="0" applyFont="1"/>
    <xf numFmtId="0" fontId="0" fillId="0" borderId="0" xfId="0" applyFont="1" applyFill="1" applyBorder="1" applyAlignment="1">
      <alignment horizontal="left" vertical="center"/>
    </xf>
    <xf numFmtId="0" fontId="0" fillId="0" borderId="2" xfId="0" applyFont="1" applyFill="1" applyBorder="1" applyAlignment="1">
      <alignment horizontal="left" vertical="center"/>
    </xf>
    <xf numFmtId="0" fontId="0" fillId="0" borderId="13" xfId="0" applyFont="1" applyBorder="1" applyAlignment="1">
      <alignment horizontal="left" vertical="center"/>
    </xf>
    <xf numFmtId="0" fontId="9" fillId="0" borderId="4" xfId="0" applyFont="1" applyBorder="1" applyAlignment="1">
      <alignment horizontal="left" vertical="center"/>
    </xf>
    <xf numFmtId="0" fontId="1" fillId="0" borderId="0" xfId="0" applyFont="1" applyFill="1" applyBorder="1" applyAlignment="1">
      <alignment horizontal="left" vertical="center"/>
    </xf>
    <xf numFmtId="0" fontId="1" fillId="0" borderId="2" xfId="0" applyFont="1" applyFill="1" applyBorder="1" applyAlignment="1">
      <alignment vertical="top" wrapText="1"/>
    </xf>
    <xf numFmtId="0" fontId="22" fillId="0" borderId="0" xfId="0" applyFont="1"/>
    <xf numFmtId="0" fontId="9" fillId="0" borderId="13" xfId="0" applyFont="1" applyFill="1" applyBorder="1"/>
    <xf numFmtId="0" fontId="9" fillId="0" borderId="4" xfId="0" applyFont="1" applyFill="1" applyBorder="1"/>
    <xf numFmtId="49" fontId="6" fillId="8" borderId="0" xfId="9" applyNumberFormat="1" applyBorder="1">
      <alignment horizontal="right" vertical="center"/>
      <protection locked="0"/>
    </xf>
    <xf numFmtId="0" fontId="1" fillId="0" borderId="2" xfId="0" applyFont="1" applyFill="1" applyBorder="1"/>
    <xf numFmtId="3" fontId="6" fillId="0" borderId="0" xfId="9" applyFill="1" applyBorder="1">
      <alignment horizontal="right" vertical="center"/>
      <protection locked="0"/>
    </xf>
    <xf numFmtId="3" fontId="6" fillId="0" borderId="3" xfId="9" applyFill="1" applyBorder="1" applyAlignment="1">
      <alignment horizontal="center" vertical="center"/>
      <protection locked="0"/>
    </xf>
    <xf numFmtId="0" fontId="0" fillId="0" borderId="3" xfId="0" applyFill="1" applyBorder="1" applyAlignment="1">
      <alignment horizontal="center" vertical="center"/>
    </xf>
    <xf numFmtId="3" fontId="6" fillId="8" borderId="9" xfId="9" applyBorder="1">
      <alignment horizontal="right" vertical="center"/>
      <protection locked="0"/>
    </xf>
    <xf numFmtId="3" fontId="6" fillId="8" borderId="3" xfId="9" applyBorder="1">
      <alignment horizontal="right" vertical="center"/>
      <protection locked="0"/>
    </xf>
    <xf numFmtId="168" fontId="6" fillId="7" borderId="3" xfId="8" applyNumberFormat="1" applyBorder="1">
      <alignment horizontal="right" vertical="center"/>
    </xf>
    <xf numFmtId="168" fontId="6" fillId="7" borderId="3" xfId="8" applyNumberFormat="1" applyBorder="1" applyAlignment="1">
      <alignment horizontal="left" vertical="center"/>
    </xf>
    <xf numFmtId="0" fontId="6" fillId="7" borderId="3" xfId="8" applyNumberFormat="1" applyBorder="1" applyProtection="1">
      <alignment horizontal="right" vertical="center"/>
      <protection locked="0"/>
    </xf>
    <xf numFmtId="168" fontId="6" fillId="8" borderId="9" xfId="9" applyNumberFormat="1" applyBorder="1">
      <alignment horizontal="right" vertical="center"/>
      <protection locked="0"/>
    </xf>
    <xf numFmtId="168" fontId="6" fillId="7" borderId="3" xfId="8" applyNumberFormat="1" applyBorder="1" applyProtection="1">
      <alignment horizontal="right" vertical="center"/>
      <protection locked="0"/>
    </xf>
    <xf numFmtId="168" fontId="21" fillId="7" borderId="14" xfId="8" applyNumberFormat="1" applyFont="1" applyBorder="1" applyProtection="1">
      <alignment horizontal="right" vertical="center"/>
      <protection locked="0"/>
    </xf>
    <xf numFmtId="168" fontId="6" fillId="7" borderId="9" xfId="8" applyNumberFormat="1" applyBorder="1" applyProtection="1">
      <alignment horizontal="right" vertical="center"/>
      <protection locked="0"/>
    </xf>
    <xf numFmtId="164" fontId="6" fillId="7" borderId="14" xfId="6" applyNumberFormat="1" applyFont="1" applyFill="1" applyBorder="1" applyAlignment="1" applyProtection="1">
      <alignment horizontal="right" vertical="center"/>
      <protection locked="0"/>
    </xf>
    <xf numFmtId="0" fontId="6" fillId="10" borderId="14" xfId="10" applyNumberFormat="1" applyFill="1" applyBorder="1" applyAlignment="1"/>
    <xf numFmtId="0" fontId="0" fillId="0" borderId="15" xfId="0" applyFill="1" applyBorder="1"/>
    <xf numFmtId="3" fontId="6" fillId="7" borderId="6" xfId="8" applyBorder="1">
      <alignment horizontal="right" vertical="center"/>
    </xf>
    <xf numFmtId="168" fontId="6" fillId="0" borderId="0" xfId="8" applyNumberFormat="1" applyFill="1" applyBorder="1" applyProtection="1">
      <alignment horizontal="right" vertical="center"/>
      <protection locked="0"/>
    </xf>
    <xf numFmtId="0" fontId="1" fillId="0" borderId="13" xfId="0" applyFont="1" applyFill="1" applyBorder="1" applyAlignment="1">
      <alignment horizontal="left"/>
    </xf>
    <xf numFmtId="168" fontId="6" fillId="7" borderId="14" xfId="8" applyNumberFormat="1" applyBorder="1" applyProtection="1">
      <alignment horizontal="right" vertical="center"/>
      <protection locked="0"/>
    </xf>
    <xf numFmtId="3" fontId="0" fillId="10" borderId="3" xfId="0" applyNumberFormat="1" applyFill="1" applyBorder="1"/>
    <xf numFmtId="0" fontId="9" fillId="0" borderId="5" xfId="0" applyFont="1" applyFill="1" applyBorder="1"/>
    <xf numFmtId="9" fontId="10" fillId="2" borderId="6" xfId="0" applyNumberFormat="1" applyFont="1" applyFill="1" applyBorder="1"/>
    <xf numFmtId="9" fontId="9" fillId="0" borderId="0" xfId="0" applyNumberFormat="1" applyFont="1" applyAlignment="1">
      <alignment horizontal="right"/>
    </xf>
    <xf numFmtId="0" fontId="9" fillId="0" borderId="0" xfId="0" applyFont="1" applyAlignment="1">
      <alignment vertical="top"/>
    </xf>
    <xf numFmtId="0" fontId="0" fillId="10" borderId="7" xfId="0" applyFont="1" applyFill="1" applyBorder="1"/>
    <xf numFmtId="0" fontId="0" fillId="0" borderId="0" xfId="0" applyFont="1" applyAlignment="1">
      <alignment vertical="top"/>
    </xf>
    <xf numFmtId="0" fontId="9" fillId="0" borderId="0" xfId="0" applyFont="1"/>
    <xf numFmtId="165" fontId="0" fillId="10" borderId="11" xfId="0" applyNumberFormat="1" applyFill="1" applyBorder="1"/>
    <xf numFmtId="165" fontId="0" fillId="10" borderId="7" xfId="0" applyNumberFormat="1" applyFill="1" applyBorder="1"/>
    <xf numFmtId="165" fontId="0" fillId="9" borderId="7" xfId="0" applyNumberFormat="1" applyFill="1" applyBorder="1" applyAlignment="1">
      <alignment horizontal="right"/>
    </xf>
    <xf numFmtId="10" fontId="0" fillId="9" borderId="8" xfId="0" applyNumberFormat="1" applyFill="1" applyBorder="1"/>
    <xf numFmtId="9" fontId="0" fillId="9" borderId="7" xfId="0" applyNumberFormat="1" applyFill="1" applyBorder="1"/>
    <xf numFmtId="10" fontId="9" fillId="10" borderId="10" xfId="0" applyNumberFormat="1" applyFont="1" applyFill="1" applyBorder="1"/>
    <xf numFmtId="4" fontId="6" fillId="7" borderId="10" xfId="4" applyNumberFormat="1" applyBorder="1">
      <alignment horizontal="right" vertical="center"/>
    </xf>
    <xf numFmtId="4" fontId="6" fillId="7" borderId="9" xfId="4" applyNumberFormat="1" applyBorder="1">
      <alignment horizontal="right" vertical="center"/>
    </xf>
    <xf numFmtId="0" fontId="25" fillId="0" borderId="0" xfId="0" applyFont="1"/>
    <xf numFmtId="0" fontId="0" fillId="0" borderId="0" xfId="0" applyFont="1"/>
    <xf numFmtId="0" fontId="13" fillId="0" borderId="0" xfId="0" applyFont="1"/>
    <xf numFmtId="169" fontId="0" fillId="0" borderId="0" xfId="0" applyNumberFormat="1" applyFont="1" applyAlignment="1">
      <alignment horizontal="left"/>
    </xf>
    <xf numFmtId="0" fontId="0" fillId="0" borderId="1" xfId="0" quotePrefix="1" applyBorder="1" applyAlignment="1">
      <alignment vertical="top" wrapText="1"/>
    </xf>
    <xf numFmtId="0" fontId="0" fillId="0" borderId="9" xfId="0" quotePrefix="1" applyBorder="1" applyAlignment="1">
      <alignment vertical="top" wrapText="1"/>
    </xf>
    <xf numFmtId="0" fontId="0" fillId="0" borderId="2" xfId="0" quotePrefix="1" applyBorder="1" applyAlignment="1">
      <alignment vertical="top" wrapText="1"/>
    </xf>
    <xf numFmtId="0" fontId="0" fillId="0" borderId="3" xfId="0" quotePrefix="1" applyBorder="1" applyAlignment="1">
      <alignment vertical="top" wrapText="1"/>
    </xf>
    <xf numFmtId="0" fontId="0" fillId="0" borderId="4" xfId="0" quotePrefix="1" applyBorder="1" applyAlignment="1">
      <alignment vertical="top" wrapText="1"/>
    </xf>
    <xf numFmtId="0" fontId="0" fillId="0" borderId="14" xfId="0" quotePrefix="1" applyBorder="1" applyAlignment="1">
      <alignment vertical="top" wrapText="1"/>
    </xf>
    <xf numFmtId="167" fontId="0" fillId="0" borderId="16" xfId="0" applyNumberFormat="1" applyBorder="1" applyAlignment="1">
      <alignment horizontal="center" vertical="center"/>
    </xf>
    <xf numFmtId="167" fontId="0" fillId="0" borderId="17" xfId="0" applyNumberFormat="1" applyBorder="1" applyAlignment="1">
      <alignment horizontal="center" vertical="center"/>
    </xf>
    <xf numFmtId="167" fontId="0" fillId="0" borderId="18" xfId="0" applyNumberFormat="1" applyBorder="1" applyAlignment="1">
      <alignment horizontal="center" vertical="center"/>
    </xf>
    <xf numFmtId="167" fontId="0" fillId="0" borderId="19" xfId="0" applyNumberFormat="1" applyBorder="1" applyAlignment="1">
      <alignment horizontal="center" vertical="center"/>
    </xf>
    <xf numFmtId="0" fontId="0" fillId="0" borderId="2" xfId="0" applyFill="1" applyBorder="1" applyAlignment="1">
      <alignment vertical="top" wrapText="1"/>
    </xf>
    <xf numFmtId="0" fontId="0" fillId="0" borderId="0" xfId="0" applyFill="1" applyBorder="1" applyAlignment="1">
      <alignment vertical="top" wrapText="1"/>
    </xf>
    <xf numFmtId="0" fontId="0" fillId="0" borderId="3" xfId="0" applyFill="1" applyBorder="1" applyAlignment="1">
      <alignment vertical="top" wrapText="1"/>
    </xf>
    <xf numFmtId="0" fontId="0" fillId="0" borderId="4" xfId="0" applyFill="1" applyBorder="1" applyAlignment="1">
      <alignment vertical="top" wrapText="1"/>
    </xf>
    <xf numFmtId="0" fontId="0" fillId="0" borderId="13" xfId="0" applyFill="1" applyBorder="1" applyAlignment="1">
      <alignment vertical="top" wrapText="1"/>
    </xf>
    <xf numFmtId="0" fontId="0" fillId="0" borderId="14" xfId="0" applyFill="1" applyBorder="1" applyAlignment="1">
      <alignment vertical="top" wrapText="1"/>
    </xf>
    <xf numFmtId="0" fontId="13" fillId="0" borderId="2" xfId="0" applyFont="1" applyFill="1" applyBorder="1" applyAlignment="1">
      <alignment vertical="top" wrapText="1"/>
    </xf>
    <xf numFmtId="0" fontId="13" fillId="0" borderId="0" xfId="0" applyFont="1" applyFill="1" applyBorder="1" applyAlignment="1">
      <alignment vertical="top" wrapText="1"/>
    </xf>
    <xf numFmtId="0" fontId="13" fillId="0" borderId="3" xfId="0" applyFont="1" applyFill="1" applyBorder="1" applyAlignment="1">
      <alignment vertical="top" wrapText="1"/>
    </xf>
    <xf numFmtId="0" fontId="3" fillId="2" borderId="5" xfId="0" applyFont="1" applyFill="1" applyBorder="1"/>
    <xf numFmtId="0" fontId="3" fillId="2" borderId="6" xfId="0" applyFont="1" applyFill="1" applyBorder="1"/>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15" xfId="0" applyFont="1" applyFill="1" applyBorder="1"/>
    <xf numFmtId="0" fontId="0" fillId="0" borderId="2" xfId="0" applyFill="1" applyBorder="1" applyAlignment="1">
      <alignment wrapText="1"/>
    </xf>
    <xf numFmtId="0" fontId="0" fillId="0" borderId="0" xfId="0" applyFill="1" applyBorder="1" applyAlignment="1">
      <alignment wrapText="1"/>
    </xf>
    <xf numFmtId="0" fontId="0" fillId="0" borderId="3" xfId="0" applyFill="1" applyBorder="1" applyAlignment="1">
      <alignment wrapText="1"/>
    </xf>
    <xf numFmtId="0" fontId="9" fillId="0" borderId="2" xfId="0" applyFont="1" applyFill="1" applyBorder="1" applyAlignment="1">
      <alignment vertical="top"/>
    </xf>
    <xf numFmtId="0" fontId="9" fillId="0" borderId="0" xfId="0" applyFont="1" applyFill="1" applyBorder="1" applyAlignment="1">
      <alignment vertical="top"/>
    </xf>
    <xf numFmtId="0" fontId="9" fillId="0" borderId="3" xfId="0" applyFont="1" applyFill="1" applyBorder="1" applyAlignment="1">
      <alignment vertical="top"/>
    </xf>
    <xf numFmtId="0" fontId="0" fillId="0" borderId="9"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2" xfId="0" quotePrefix="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cellXfs>
  <cellStyles count="11">
    <cellStyle name="IORP_Empty" xfId="7"/>
    <cellStyle name="IORP_Formula" xfId="8"/>
    <cellStyle name="IORP_Input" xfId="9"/>
    <cellStyle name="IORP_Result" xfId="10"/>
    <cellStyle name="Normal" xfId="0" builtinId="0"/>
    <cellStyle name="Percent" xfId="6" builtinId="5"/>
    <cellStyle name="QIS5Header" xfId="1"/>
    <cellStyle name="QIS5SheetHeader" xfId="2"/>
    <cellStyle name="QISP_Empty" xfId="3"/>
    <cellStyle name="QISP_Formula" xfId="4"/>
    <cellStyle name="QISP_Input" xfId="5"/>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abSelected="1" workbookViewId="0">
      <selection activeCell="M4" sqref="M4"/>
    </sheetView>
  </sheetViews>
  <sheetFormatPr defaultColWidth="9.140625" defaultRowHeight="15" x14ac:dyDescent="0.25"/>
  <cols>
    <col min="2" max="2" width="42.28515625" bestFit="1" customWidth="1"/>
    <col min="3" max="3" width="10.7109375" customWidth="1"/>
    <col min="6" max="8" width="12.7109375" customWidth="1"/>
    <col min="11" max="11" width="3.7109375" customWidth="1"/>
    <col min="12" max="12" width="12.5703125" hidden="1" customWidth="1"/>
    <col min="13" max="13" width="15.140625" customWidth="1"/>
  </cols>
  <sheetData>
    <row r="1" spans="1:16" x14ac:dyDescent="0.25">
      <c r="A1" s="145" t="s">
        <v>115</v>
      </c>
      <c r="K1" s="6" t="s">
        <v>6</v>
      </c>
      <c r="M1" s="154"/>
    </row>
    <row r="2" spans="1:16" ht="15" customHeight="1" thickBot="1" x14ac:dyDescent="0.3">
      <c r="A2" s="144" t="s">
        <v>118</v>
      </c>
      <c r="K2" s="6" t="s">
        <v>6</v>
      </c>
      <c r="M2" s="155"/>
    </row>
    <row r="3" spans="1:16" ht="15" customHeight="1" x14ac:dyDescent="0.25">
      <c r="K3" s="6" t="s">
        <v>6</v>
      </c>
      <c r="M3" s="156"/>
      <c r="O3" s="164"/>
      <c r="P3" s="165"/>
    </row>
    <row r="4" spans="1:16" ht="15.75" thickBot="1" x14ac:dyDescent="0.3">
      <c r="B4" s="5" t="s">
        <v>0</v>
      </c>
      <c r="C4" s="20"/>
      <c r="D4" s="20"/>
      <c r="E4" s="21" t="s">
        <v>0</v>
      </c>
      <c r="F4" s="20"/>
      <c r="G4" s="20"/>
      <c r="H4" s="20"/>
      <c r="I4" s="20"/>
      <c r="J4" s="4"/>
      <c r="K4" s="6" t="s">
        <v>6</v>
      </c>
      <c r="L4" s="19"/>
      <c r="M4" s="157"/>
      <c r="O4" s="166"/>
      <c r="P4" s="167"/>
    </row>
    <row r="5" spans="1:16" ht="15.75" customHeight="1" x14ac:dyDescent="0.35">
      <c r="A5" s="2" t="s">
        <v>3</v>
      </c>
      <c r="B5" s="15" t="s">
        <v>2</v>
      </c>
      <c r="C5" s="58">
        <v>1</v>
      </c>
      <c r="E5" s="30"/>
      <c r="F5" s="31" t="s">
        <v>27</v>
      </c>
      <c r="G5" s="34" t="s">
        <v>25</v>
      </c>
      <c r="H5" s="34" t="s">
        <v>26</v>
      </c>
      <c r="I5" s="38" t="s">
        <v>24</v>
      </c>
      <c r="K5" s="6" t="s">
        <v>6</v>
      </c>
    </row>
    <row r="6" spans="1:16" x14ac:dyDescent="0.25">
      <c r="A6" s="13" t="s">
        <v>7</v>
      </c>
      <c r="B6" s="23" t="s">
        <v>21</v>
      </c>
      <c r="C6" s="9">
        <v>0</v>
      </c>
      <c r="E6" s="18" t="s">
        <v>12</v>
      </c>
      <c r="F6" s="39" t="s">
        <v>10</v>
      </c>
      <c r="G6" s="39" t="s">
        <v>33</v>
      </c>
      <c r="H6" s="39" t="s">
        <v>28</v>
      </c>
      <c r="I6" s="41" t="s">
        <v>13</v>
      </c>
      <c r="J6" s="42" t="s">
        <v>22</v>
      </c>
      <c r="K6" s="6" t="s">
        <v>6</v>
      </c>
      <c r="L6" s="7" t="s">
        <v>34</v>
      </c>
    </row>
    <row r="7" spans="1:16" x14ac:dyDescent="0.25">
      <c r="A7" s="13" t="s">
        <v>19</v>
      </c>
      <c r="B7" s="23" t="s">
        <v>20</v>
      </c>
      <c r="C7" s="28">
        <v>0</v>
      </c>
      <c r="E7" s="16"/>
      <c r="F7" s="32"/>
      <c r="G7" s="32" t="s">
        <v>32</v>
      </c>
      <c r="H7" s="35" t="s">
        <v>29</v>
      </c>
      <c r="I7" s="29" t="s">
        <v>14</v>
      </c>
      <c r="J7" s="32" t="s">
        <v>23</v>
      </c>
      <c r="K7" s="6" t="s">
        <v>6</v>
      </c>
      <c r="L7" s="7" t="s">
        <v>35</v>
      </c>
    </row>
    <row r="8" spans="1:16" x14ac:dyDescent="0.25">
      <c r="A8" s="13" t="s">
        <v>8</v>
      </c>
      <c r="B8" s="23" t="s">
        <v>9</v>
      </c>
      <c r="C8" s="9">
        <v>100</v>
      </c>
      <c r="E8" s="16"/>
      <c r="F8" s="16"/>
      <c r="G8" s="32" t="s">
        <v>11</v>
      </c>
      <c r="H8" s="32" t="s">
        <v>30</v>
      </c>
      <c r="I8" s="29"/>
      <c r="J8" s="32"/>
      <c r="K8" s="6" t="s">
        <v>6</v>
      </c>
    </row>
    <row r="9" spans="1:16" ht="17.25" x14ac:dyDescent="0.25">
      <c r="A9" s="13" t="s">
        <v>15</v>
      </c>
      <c r="B9" s="24" t="s">
        <v>16</v>
      </c>
      <c r="C9" s="22">
        <v>1000</v>
      </c>
      <c r="E9" s="17"/>
      <c r="F9" s="17"/>
      <c r="G9" s="17"/>
      <c r="H9" s="40" t="s">
        <v>31</v>
      </c>
      <c r="I9" s="14"/>
      <c r="J9" s="40"/>
      <c r="K9" s="6" t="s">
        <v>6</v>
      </c>
    </row>
    <row r="10" spans="1:16" x14ac:dyDescent="0.25">
      <c r="E10" s="16">
        <v>1</v>
      </c>
      <c r="F10" s="33">
        <f>G10+H10</f>
        <v>10</v>
      </c>
      <c r="G10" s="9"/>
      <c r="H10" s="9">
        <v>10</v>
      </c>
      <c r="I10" s="36">
        <f>1/(1+J10)^E10</f>
        <v>0.970873786407767</v>
      </c>
      <c r="J10" s="10">
        <v>0.03</v>
      </c>
      <c r="K10" s="6" t="s">
        <v>6</v>
      </c>
      <c r="L10" s="25">
        <f>F10*I10</f>
        <v>9.7087378640776691</v>
      </c>
    </row>
    <row r="11" spans="1:16" x14ac:dyDescent="0.25">
      <c r="E11" s="16">
        <f t="shared" ref="E11:E56" si="0">E10+1</f>
        <v>2</v>
      </c>
      <c r="F11" s="33">
        <f t="shared" ref="F11:F59" si="1">G11+H11</f>
        <v>10</v>
      </c>
      <c r="G11" s="9"/>
      <c r="H11" s="9">
        <v>10</v>
      </c>
      <c r="I11" s="36">
        <f t="shared" ref="I11:I59" si="2">1/(1+J11)^E11</f>
        <v>0.94259590913375435</v>
      </c>
      <c r="J11" s="10">
        <v>0.03</v>
      </c>
      <c r="K11" s="6" t="s">
        <v>6</v>
      </c>
      <c r="L11" s="25">
        <f t="shared" ref="L11:L59" si="3">F11*I11</f>
        <v>9.4259590913375426</v>
      </c>
    </row>
    <row r="12" spans="1:16" x14ac:dyDescent="0.25">
      <c r="B12" s="5" t="s">
        <v>1</v>
      </c>
      <c r="C12" s="26"/>
      <c r="E12" s="16">
        <f t="shared" si="0"/>
        <v>3</v>
      </c>
      <c r="F12" s="33">
        <f t="shared" si="1"/>
        <v>10</v>
      </c>
      <c r="G12" s="9"/>
      <c r="H12" s="9">
        <v>10</v>
      </c>
      <c r="I12" s="36">
        <f t="shared" si="2"/>
        <v>0.91514165935315961</v>
      </c>
      <c r="J12" s="10">
        <v>0.03</v>
      </c>
      <c r="K12" s="6" t="s">
        <v>6</v>
      </c>
      <c r="L12" s="25">
        <f t="shared" si="3"/>
        <v>9.1514165935315965</v>
      </c>
    </row>
    <row r="13" spans="1:16" x14ac:dyDescent="0.25">
      <c r="A13" s="13" t="s">
        <v>17</v>
      </c>
      <c r="B13" s="46" t="s">
        <v>79</v>
      </c>
      <c r="C13" s="59">
        <f>MIN((SUM(L10:INDEX(L10:L59,C5))+C7*C6+C8),C9)</f>
        <v>109.70873786407768</v>
      </c>
      <c r="E13" s="16">
        <f t="shared" si="0"/>
        <v>4</v>
      </c>
      <c r="F13" s="33">
        <f t="shared" si="1"/>
        <v>10</v>
      </c>
      <c r="G13" s="9"/>
      <c r="H13" s="9">
        <v>10</v>
      </c>
      <c r="I13" s="36">
        <f t="shared" si="2"/>
        <v>0.888487047915689</v>
      </c>
      <c r="J13" s="10">
        <v>0.03</v>
      </c>
      <c r="K13" s="6" t="s">
        <v>6</v>
      </c>
      <c r="L13" s="25">
        <f t="shared" si="3"/>
        <v>8.8848704791568895</v>
      </c>
    </row>
    <row r="14" spans="1:16" x14ac:dyDescent="0.25">
      <c r="A14" s="13"/>
      <c r="B14" s="44"/>
      <c r="C14" s="45"/>
      <c r="E14" s="16">
        <f t="shared" si="0"/>
        <v>5</v>
      </c>
      <c r="F14" s="33">
        <f t="shared" si="1"/>
        <v>10</v>
      </c>
      <c r="G14" s="9"/>
      <c r="H14" s="9">
        <v>10</v>
      </c>
      <c r="I14" s="36">
        <f t="shared" si="2"/>
        <v>0.86260878438416411</v>
      </c>
      <c r="J14" s="10">
        <v>0.03</v>
      </c>
      <c r="K14" s="6" t="s">
        <v>6</v>
      </c>
      <c r="L14" s="25">
        <f t="shared" si="3"/>
        <v>8.626087843841642</v>
      </c>
    </row>
    <row r="15" spans="1:16" x14ac:dyDescent="0.25">
      <c r="E15" s="16">
        <f t="shared" si="0"/>
        <v>6</v>
      </c>
      <c r="F15" s="33">
        <f t="shared" si="1"/>
        <v>10</v>
      </c>
      <c r="G15" s="9"/>
      <c r="H15" s="9">
        <v>10</v>
      </c>
      <c r="I15" s="36">
        <f t="shared" si="2"/>
        <v>0.83748425668365445</v>
      </c>
      <c r="J15" s="10">
        <v>0.03</v>
      </c>
      <c r="K15" s="6" t="s">
        <v>6</v>
      </c>
      <c r="L15" s="25">
        <f t="shared" si="3"/>
        <v>8.3748425668365449</v>
      </c>
    </row>
    <row r="16" spans="1:16" x14ac:dyDescent="0.25">
      <c r="E16" s="16">
        <f t="shared" si="0"/>
        <v>7</v>
      </c>
      <c r="F16" s="33">
        <f t="shared" si="1"/>
        <v>10</v>
      </c>
      <c r="G16" s="9"/>
      <c r="H16" s="9">
        <v>10</v>
      </c>
      <c r="I16" s="36">
        <f t="shared" si="2"/>
        <v>0.81309151134335378</v>
      </c>
      <c r="J16" s="10">
        <v>0.03</v>
      </c>
      <c r="K16" s="6" t="s">
        <v>6</v>
      </c>
      <c r="L16" s="25">
        <f t="shared" si="3"/>
        <v>8.130915113433538</v>
      </c>
    </row>
    <row r="17" spans="2:12" x14ac:dyDescent="0.25">
      <c r="B17" s="5" t="s">
        <v>18</v>
      </c>
      <c r="C17" s="27"/>
      <c r="E17" s="16">
        <f t="shared" si="0"/>
        <v>8</v>
      </c>
      <c r="F17" s="33">
        <f t="shared" si="1"/>
        <v>10</v>
      </c>
      <c r="G17" s="9"/>
      <c r="H17" s="9">
        <v>10</v>
      </c>
      <c r="I17" s="36">
        <f t="shared" si="2"/>
        <v>0.78940923431393573</v>
      </c>
      <c r="J17" s="10">
        <v>0.03</v>
      </c>
      <c r="K17" s="6" t="s">
        <v>6</v>
      </c>
      <c r="L17" s="25">
        <f t="shared" si="3"/>
        <v>7.8940923431393575</v>
      </c>
    </row>
    <row r="18" spans="2:12" ht="15" customHeight="1" x14ac:dyDescent="0.25">
      <c r="B18" s="158" t="s">
        <v>80</v>
      </c>
      <c r="C18" s="159"/>
      <c r="E18" s="16">
        <f t="shared" si="0"/>
        <v>9</v>
      </c>
      <c r="F18" s="33">
        <f t="shared" si="1"/>
        <v>10</v>
      </c>
      <c r="G18" s="9"/>
      <c r="H18" s="9">
        <v>10</v>
      </c>
      <c r="I18" s="36">
        <f t="shared" si="2"/>
        <v>0.76641673234362695</v>
      </c>
      <c r="J18" s="10">
        <v>0.03</v>
      </c>
      <c r="K18" s="6" t="s">
        <v>6</v>
      </c>
      <c r="L18" s="25">
        <f t="shared" si="3"/>
        <v>7.6641673234362697</v>
      </c>
    </row>
    <row r="19" spans="2:12" x14ac:dyDescent="0.25">
      <c r="B19" s="160"/>
      <c r="C19" s="161"/>
      <c r="E19" s="16">
        <f t="shared" si="0"/>
        <v>10</v>
      </c>
      <c r="F19" s="33">
        <f t="shared" si="1"/>
        <v>10</v>
      </c>
      <c r="G19" s="9"/>
      <c r="H19" s="9">
        <v>10</v>
      </c>
      <c r="I19" s="36">
        <f t="shared" si="2"/>
        <v>0.74409391489672516</v>
      </c>
      <c r="J19" s="10">
        <v>0.03</v>
      </c>
      <c r="K19" s="6" t="s">
        <v>6</v>
      </c>
      <c r="L19" s="25">
        <f t="shared" si="3"/>
        <v>7.4409391489672512</v>
      </c>
    </row>
    <row r="20" spans="2:12" x14ac:dyDescent="0.25">
      <c r="B20" s="160"/>
      <c r="C20" s="161"/>
      <c r="E20" s="16">
        <f t="shared" si="0"/>
        <v>11</v>
      </c>
      <c r="F20" s="33">
        <f t="shared" si="1"/>
        <v>10</v>
      </c>
      <c r="G20" s="9"/>
      <c r="H20" s="9">
        <v>10</v>
      </c>
      <c r="I20" s="36">
        <f t="shared" si="2"/>
        <v>0.72242127659876232</v>
      </c>
      <c r="J20" s="10">
        <v>0.03</v>
      </c>
      <c r="K20" s="6" t="s">
        <v>6</v>
      </c>
      <c r="L20" s="25">
        <f t="shared" si="3"/>
        <v>7.2242127659876232</v>
      </c>
    </row>
    <row r="21" spans="2:12" x14ac:dyDescent="0.25">
      <c r="B21" s="160"/>
      <c r="C21" s="161"/>
      <c r="E21" s="16">
        <f t="shared" si="0"/>
        <v>12</v>
      </c>
      <c r="F21" s="33">
        <f t="shared" si="1"/>
        <v>10</v>
      </c>
      <c r="G21" s="9"/>
      <c r="H21" s="9">
        <v>10</v>
      </c>
      <c r="I21" s="36">
        <f t="shared" si="2"/>
        <v>0.70137988019297326</v>
      </c>
      <c r="J21" s="10">
        <v>0.03</v>
      </c>
      <c r="K21" s="6" t="s">
        <v>6</v>
      </c>
      <c r="L21" s="25">
        <f t="shared" si="3"/>
        <v>7.0137988019297328</v>
      </c>
    </row>
    <row r="22" spans="2:12" x14ac:dyDescent="0.25">
      <c r="B22" s="160"/>
      <c r="C22" s="161"/>
      <c r="E22" s="16">
        <f t="shared" si="0"/>
        <v>13</v>
      </c>
      <c r="F22" s="33">
        <f t="shared" si="1"/>
        <v>10</v>
      </c>
      <c r="G22" s="9"/>
      <c r="H22" s="9">
        <v>10</v>
      </c>
      <c r="I22" s="36">
        <f t="shared" si="2"/>
        <v>0.68095133999317792</v>
      </c>
      <c r="J22" s="10">
        <v>0.03</v>
      </c>
      <c r="K22" s="6" t="s">
        <v>6</v>
      </c>
      <c r="L22" s="25">
        <f t="shared" si="3"/>
        <v>6.8095133999317792</v>
      </c>
    </row>
    <row r="23" spans="2:12" x14ac:dyDescent="0.25">
      <c r="B23" s="160"/>
      <c r="C23" s="161"/>
      <c r="E23" s="16">
        <f t="shared" si="0"/>
        <v>14</v>
      </c>
      <c r="F23" s="33">
        <f t="shared" si="1"/>
        <v>10</v>
      </c>
      <c r="G23" s="9"/>
      <c r="H23" s="9">
        <v>10</v>
      </c>
      <c r="I23" s="36">
        <f t="shared" si="2"/>
        <v>0.66111780581861923</v>
      </c>
      <c r="J23" s="10">
        <v>0.03</v>
      </c>
      <c r="K23" s="6" t="s">
        <v>6</v>
      </c>
      <c r="L23" s="25">
        <f t="shared" si="3"/>
        <v>6.6111780581861925</v>
      </c>
    </row>
    <row r="24" spans="2:12" x14ac:dyDescent="0.25">
      <c r="B24" s="160"/>
      <c r="C24" s="161"/>
      <c r="E24" s="16">
        <f t="shared" si="0"/>
        <v>15</v>
      </c>
      <c r="F24" s="33">
        <f t="shared" si="1"/>
        <v>10</v>
      </c>
      <c r="G24" s="9"/>
      <c r="H24" s="9">
        <v>10</v>
      </c>
      <c r="I24" s="36">
        <f t="shared" si="2"/>
        <v>0.64186194739671765</v>
      </c>
      <c r="J24" s="10">
        <v>0.03</v>
      </c>
      <c r="K24" s="6" t="s">
        <v>6</v>
      </c>
      <c r="L24" s="25">
        <f t="shared" si="3"/>
        <v>6.4186194739671762</v>
      </c>
    </row>
    <row r="25" spans="2:12" x14ac:dyDescent="0.25">
      <c r="B25" s="160"/>
      <c r="C25" s="161"/>
      <c r="E25" s="16">
        <f t="shared" si="0"/>
        <v>16</v>
      </c>
      <c r="F25" s="33">
        <f t="shared" si="1"/>
        <v>10</v>
      </c>
      <c r="G25" s="9"/>
      <c r="H25" s="9">
        <v>10</v>
      </c>
      <c r="I25" s="36">
        <f t="shared" si="2"/>
        <v>0.62316693922011435</v>
      </c>
      <c r="J25" s="10">
        <v>0.03</v>
      </c>
      <c r="K25" s="6" t="s">
        <v>6</v>
      </c>
      <c r="L25" s="25">
        <f t="shared" si="3"/>
        <v>6.2316693922011437</v>
      </c>
    </row>
    <row r="26" spans="2:12" x14ac:dyDescent="0.25">
      <c r="B26" s="160"/>
      <c r="C26" s="161"/>
      <c r="E26" s="16">
        <f t="shared" si="0"/>
        <v>17</v>
      </c>
      <c r="F26" s="33">
        <f t="shared" si="1"/>
        <v>10</v>
      </c>
      <c r="G26" s="9"/>
      <c r="H26" s="9">
        <v>10</v>
      </c>
      <c r="I26" s="36">
        <f t="shared" si="2"/>
        <v>0.60501644584477121</v>
      </c>
      <c r="J26" s="10">
        <v>0.03</v>
      </c>
      <c r="K26" s="6" t="s">
        <v>6</v>
      </c>
      <c r="L26" s="25">
        <f t="shared" si="3"/>
        <v>6.0501644584477123</v>
      </c>
    </row>
    <row r="27" spans="2:12" x14ac:dyDescent="0.25">
      <c r="B27" s="160"/>
      <c r="C27" s="161"/>
      <c r="E27" s="16">
        <f t="shared" si="0"/>
        <v>18</v>
      </c>
      <c r="F27" s="33">
        <f t="shared" si="1"/>
        <v>10</v>
      </c>
      <c r="G27" s="9"/>
      <c r="H27" s="9">
        <v>10</v>
      </c>
      <c r="I27" s="36">
        <f t="shared" si="2"/>
        <v>0.5873946076162827</v>
      </c>
      <c r="J27" s="10">
        <v>0.03</v>
      </c>
      <c r="K27" s="6" t="s">
        <v>6</v>
      </c>
      <c r="L27" s="25">
        <f t="shared" si="3"/>
        <v>5.8739460761628273</v>
      </c>
    </row>
    <row r="28" spans="2:12" x14ac:dyDescent="0.25">
      <c r="B28" s="160"/>
      <c r="C28" s="161"/>
      <c r="E28" s="16">
        <f t="shared" si="0"/>
        <v>19</v>
      </c>
      <c r="F28" s="33">
        <f t="shared" si="1"/>
        <v>10</v>
      </c>
      <c r="G28" s="9"/>
      <c r="H28" s="9">
        <v>10</v>
      </c>
      <c r="I28" s="36">
        <f t="shared" si="2"/>
        <v>0.57028602681192497</v>
      </c>
      <c r="J28" s="10">
        <v>0.03</v>
      </c>
      <c r="K28" s="6" t="s">
        <v>6</v>
      </c>
      <c r="L28" s="25">
        <f t="shared" si="3"/>
        <v>5.7028602681192497</v>
      </c>
    </row>
    <row r="29" spans="2:12" x14ac:dyDescent="0.25">
      <c r="B29" s="160"/>
      <c r="C29" s="161"/>
      <c r="E29" s="16">
        <f t="shared" si="0"/>
        <v>20</v>
      </c>
      <c r="F29" s="33">
        <f t="shared" si="1"/>
        <v>0</v>
      </c>
      <c r="G29" s="9"/>
      <c r="H29" s="9"/>
      <c r="I29" s="36">
        <f t="shared" si="2"/>
        <v>1</v>
      </c>
      <c r="J29" s="9"/>
      <c r="K29" s="6" t="s">
        <v>6</v>
      </c>
      <c r="L29" s="25">
        <f t="shared" si="3"/>
        <v>0</v>
      </c>
    </row>
    <row r="30" spans="2:12" x14ac:dyDescent="0.25">
      <c r="B30" s="162"/>
      <c r="C30" s="163"/>
      <c r="E30" s="16">
        <f t="shared" si="0"/>
        <v>21</v>
      </c>
      <c r="F30" s="33">
        <f t="shared" si="1"/>
        <v>0</v>
      </c>
      <c r="G30" s="9"/>
      <c r="H30" s="9"/>
      <c r="I30" s="36">
        <f t="shared" si="2"/>
        <v>1</v>
      </c>
      <c r="J30" s="9"/>
      <c r="K30" s="6" t="s">
        <v>6</v>
      </c>
      <c r="L30" s="25">
        <f t="shared" si="3"/>
        <v>0</v>
      </c>
    </row>
    <row r="31" spans="2:12" x14ac:dyDescent="0.25">
      <c r="E31" s="16">
        <f t="shared" si="0"/>
        <v>22</v>
      </c>
      <c r="F31" s="33">
        <f t="shared" si="1"/>
        <v>0</v>
      </c>
      <c r="G31" s="9"/>
      <c r="H31" s="9"/>
      <c r="I31" s="36">
        <f t="shared" si="2"/>
        <v>1</v>
      </c>
      <c r="J31" s="9"/>
      <c r="K31" s="6" t="s">
        <v>6</v>
      </c>
      <c r="L31" s="25">
        <f t="shared" si="3"/>
        <v>0</v>
      </c>
    </row>
    <row r="32" spans="2:12" x14ac:dyDescent="0.25">
      <c r="E32" s="16">
        <f t="shared" si="0"/>
        <v>23</v>
      </c>
      <c r="F32" s="33">
        <f t="shared" si="1"/>
        <v>0</v>
      </c>
      <c r="G32" s="9"/>
      <c r="H32" s="9"/>
      <c r="I32" s="36">
        <f t="shared" si="2"/>
        <v>1</v>
      </c>
      <c r="J32" s="9"/>
      <c r="K32" s="6" t="s">
        <v>6</v>
      </c>
      <c r="L32" s="25">
        <f t="shared" si="3"/>
        <v>0</v>
      </c>
    </row>
    <row r="33" spans="5:12" ht="15" customHeight="1" x14ac:dyDescent="0.25">
      <c r="E33" s="16">
        <f t="shared" si="0"/>
        <v>24</v>
      </c>
      <c r="F33" s="33">
        <f t="shared" si="1"/>
        <v>0</v>
      </c>
      <c r="G33" s="9"/>
      <c r="H33" s="9"/>
      <c r="I33" s="36">
        <f t="shared" si="2"/>
        <v>1</v>
      </c>
      <c r="J33" s="9"/>
      <c r="K33" s="6" t="s">
        <v>6</v>
      </c>
      <c r="L33" s="25">
        <f t="shared" si="3"/>
        <v>0</v>
      </c>
    </row>
    <row r="34" spans="5:12" x14ac:dyDescent="0.25">
      <c r="E34" s="16">
        <f t="shared" si="0"/>
        <v>25</v>
      </c>
      <c r="F34" s="33">
        <f t="shared" si="1"/>
        <v>0</v>
      </c>
      <c r="G34" s="9"/>
      <c r="H34" s="9"/>
      <c r="I34" s="36">
        <f t="shared" si="2"/>
        <v>1</v>
      </c>
      <c r="J34" s="9"/>
      <c r="K34" s="6" t="s">
        <v>6</v>
      </c>
      <c r="L34" s="25">
        <f t="shared" si="3"/>
        <v>0</v>
      </c>
    </row>
    <row r="35" spans="5:12" x14ac:dyDescent="0.25">
      <c r="E35" s="16">
        <f t="shared" si="0"/>
        <v>26</v>
      </c>
      <c r="F35" s="33">
        <f t="shared" si="1"/>
        <v>0</v>
      </c>
      <c r="G35" s="9"/>
      <c r="H35" s="9"/>
      <c r="I35" s="36">
        <f t="shared" si="2"/>
        <v>1</v>
      </c>
      <c r="J35" s="9"/>
      <c r="K35" s="6" t="s">
        <v>6</v>
      </c>
      <c r="L35" s="25">
        <f t="shared" si="3"/>
        <v>0</v>
      </c>
    </row>
    <row r="36" spans="5:12" x14ac:dyDescent="0.25">
      <c r="E36" s="16">
        <f t="shared" si="0"/>
        <v>27</v>
      </c>
      <c r="F36" s="33">
        <f t="shared" si="1"/>
        <v>0</v>
      </c>
      <c r="G36" s="9"/>
      <c r="H36" s="9"/>
      <c r="I36" s="36">
        <f t="shared" si="2"/>
        <v>1</v>
      </c>
      <c r="J36" s="9"/>
      <c r="K36" s="6" t="s">
        <v>6</v>
      </c>
      <c r="L36" s="25">
        <f t="shared" si="3"/>
        <v>0</v>
      </c>
    </row>
    <row r="37" spans="5:12" x14ac:dyDescent="0.25">
      <c r="E37" s="16">
        <f t="shared" si="0"/>
        <v>28</v>
      </c>
      <c r="F37" s="33">
        <f t="shared" si="1"/>
        <v>0</v>
      </c>
      <c r="G37" s="9"/>
      <c r="H37" s="9"/>
      <c r="I37" s="36">
        <f t="shared" si="2"/>
        <v>1</v>
      </c>
      <c r="J37" s="9"/>
      <c r="K37" s="6" t="s">
        <v>6</v>
      </c>
      <c r="L37" s="25">
        <f t="shared" si="3"/>
        <v>0</v>
      </c>
    </row>
    <row r="38" spans="5:12" x14ac:dyDescent="0.25">
      <c r="E38" s="16">
        <f t="shared" si="0"/>
        <v>29</v>
      </c>
      <c r="F38" s="33">
        <f t="shared" si="1"/>
        <v>0</v>
      </c>
      <c r="G38" s="9"/>
      <c r="H38" s="9"/>
      <c r="I38" s="36">
        <f t="shared" si="2"/>
        <v>1</v>
      </c>
      <c r="J38" s="9"/>
      <c r="K38" s="6" t="s">
        <v>6</v>
      </c>
      <c r="L38" s="25">
        <f t="shared" si="3"/>
        <v>0</v>
      </c>
    </row>
    <row r="39" spans="5:12" x14ac:dyDescent="0.25">
      <c r="E39" s="16">
        <f t="shared" si="0"/>
        <v>30</v>
      </c>
      <c r="F39" s="33">
        <f t="shared" si="1"/>
        <v>0</v>
      </c>
      <c r="G39" s="9"/>
      <c r="H39" s="9"/>
      <c r="I39" s="36">
        <f t="shared" si="2"/>
        <v>1</v>
      </c>
      <c r="J39" s="9"/>
      <c r="K39" s="6" t="s">
        <v>6</v>
      </c>
      <c r="L39" s="25">
        <f t="shared" si="3"/>
        <v>0</v>
      </c>
    </row>
    <row r="40" spans="5:12" x14ac:dyDescent="0.25">
      <c r="E40" s="16">
        <f t="shared" si="0"/>
        <v>31</v>
      </c>
      <c r="F40" s="33">
        <f t="shared" si="1"/>
        <v>0</v>
      </c>
      <c r="G40" s="9"/>
      <c r="H40" s="9"/>
      <c r="I40" s="36">
        <f t="shared" si="2"/>
        <v>1</v>
      </c>
      <c r="J40" s="9"/>
      <c r="K40" s="6" t="s">
        <v>6</v>
      </c>
      <c r="L40" s="25">
        <f t="shared" si="3"/>
        <v>0</v>
      </c>
    </row>
    <row r="41" spans="5:12" x14ac:dyDescent="0.25">
      <c r="E41" s="16">
        <f t="shared" si="0"/>
        <v>32</v>
      </c>
      <c r="F41" s="33">
        <f t="shared" si="1"/>
        <v>0</v>
      </c>
      <c r="G41" s="9"/>
      <c r="H41" s="9"/>
      <c r="I41" s="36">
        <f t="shared" si="2"/>
        <v>1</v>
      </c>
      <c r="J41" s="9"/>
      <c r="K41" s="6" t="s">
        <v>6</v>
      </c>
      <c r="L41" s="25">
        <f t="shared" si="3"/>
        <v>0</v>
      </c>
    </row>
    <row r="42" spans="5:12" x14ac:dyDescent="0.25">
      <c r="E42" s="16">
        <f t="shared" si="0"/>
        <v>33</v>
      </c>
      <c r="F42" s="33">
        <f t="shared" si="1"/>
        <v>0</v>
      </c>
      <c r="G42" s="9"/>
      <c r="H42" s="9"/>
      <c r="I42" s="36">
        <f t="shared" si="2"/>
        <v>1</v>
      </c>
      <c r="J42" s="9"/>
      <c r="K42" s="6" t="s">
        <v>6</v>
      </c>
      <c r="L42" s="25">
        <f t="shared" si="3"/>
        <v>0</v>
      </c>
    </row>
    <row r="43" spans="5:12" x14ac:dyDescent="0.25">
      <c r="E43" s="16">
        <f t="shared" si="0"/>
        <v>34</v>
      </c>
      <c r="F43" s="33">
        <f t="shared" si="1"/>
        <v>0</v>
      </c>
      <c r="G43" s="9"/>
      <c r="H43" s="9"/>
      <c r="I43" s="36">
        <f t="shared" si="2"/>
        <v>1</v>
      </c>
      <c r="J43" s="9"/>
      <c r="K43" s="6" t="s">
        <v>6</v>
      </c>
      <c r="L43" s="25">
        <f t="shared" si="3"/>
        <v>0</v>
      </c>
    </row>
    <row r="44" spans="5:12" x14ac:dyDescent="0.25">
      <c r="E44" s="16">
        <f t="shared" si="0"/>
        <v>35</v>
      </c>
      <c r="F44" s="33">
        <f t="shared" si="1"/>
        <v>0</v>
      </c>
      <c r="G44" s="9"/>
      <c r="H44" s="9"/>
      <c r="I44" s="36">
        <f t="shared" si="2"/>
        <v>1</v>
      </c>
      <c r="J44" s="9"/>
      <c r="K44" s="6" t="s">
        <v>6</v>
      </c>
      <c r="L44" s="25">
        <f t="shared" si="3"/>
        <v>0</v>
      </c>
    </row>
    <row r="45" spans="5:12" x14ac:dyDescent="0.25">
      <c r="E45" s="16">
        <f t="shared" si="0"/>
        <v>36</v>
      </c>
      <c r="F45" s="33">
        <f t="shared" si="1"/>
        <v>0</v>
      </c>
      <c r="G45" s="9"/>
      <c r="H45" s="9"/>
      <c r="I45" s="36">
        <f t="shared" si="2"/>
        <v>1</v>
      </c>
      <c r="J45" s="9"/>
      <c r="K45" s="6" t="s">
        <v>6</v>
      </c>
      <c r="L45" s="25">
        <f t="shared" si="3"/>
        <v>0</v>
      </c>
    </row>
    <row r="46" spans="5:12" x14ac:dyDescent="0.25">
      <c r="E46" s="16">
        <f t="shared" si="0"/>
        <v>37</v>
      </c>
      <c r="F46" s="33">
        <f t="shared" si="1"/>
        <v>0</v>
      </c>
      <c r="G46" s="9"/>
      <c r="H46" s="9"/>
      <c r="I46" s="36">
        <f t="shared" si="2"/>
        <v>1</v>
      </c>
      <c r="J46" s="9"/>
      <c r="K46" s="6" t="s">
        <v>6</v>
      </c>
      <c r="L46" s="25">
        <f t="shared" si="3"/>
        <v>0</v>
      </c>
    </row>
    <row r="47" spans="5:12" x14ac:dyDescent="0.25">
      <c r="E47" s="16">
        <f t="shared" si="0"/>
        <v>38</v>
      </c>
      <c r="F47" s="33">
        <f t="shared" si="1"/>
        <v>0</v>
      </c>
      <c r="G47" s="9"/>
      <c r="H47" s="9"/>
      <c r="I47" s="36">
        <f t="shared" si="2"/>
        <v>1</v>
      </c>
      <c r="J47" s="9"/>
      <c r="K47" s="6" t="s">
        <v>6</v>
      </c>
      <c r="L47" s="25">
        <f t="shared" si="3"/>
        <v>0</v>
      </c>
    </row>
    <row r="48" spans="5:12" x14ac:dyDescent="0.25">
      <c r="E48" s="16">
        <f t="shared" si="0"/>
        <v>39</v>
      </c>
      <c r="F48" s="33">
        <f t="shared" si="1"/>
        <v>0</v>
      </c>
      <c r="G48" s="9"/>
      <c r="H48" s="9"/>
      <c r="I48" s="36">
        <f t="shared" si="2"/>
        <v>1</v>
      </c>
      <c r="J48" s="9"/>
      <c r="K48" s="6" t="s">
        <v>6</v>
      </c>
      <c r="L48" s="25">
        <f t="shared" si="3"/>
        <v>0</v>
      </c>
    </row>
    <row r="49" spans="1:12" x14ac:dyDescent="0.25">
      <c r="E49" s="16">
        <f t="shared" si="0"/>
        <v>40</v>
      </c>
      <c r="F49" s="33">
        <f t="shared" si="1"/>
        <v>0</v>
      </c>
      <c r="G49" s="9"/>
      <c r="H49" s="9"/>
      <c r="I49" s="36">
        <f t="shared" si="2"/>
        <v>1</v>
      </c>
      <c r="J49" s="9"/>
      <c r="K49" s="6" t="s">
        <v>6</v>
      </c>
      <c r="L49" s="25">
        <f t="shared" si="3"/>
        <v>0</v>
      </c>
    </row>
    <row r="50" spans="1:12" x14ac:dyDescent="0.25">
      <c r="E50" s="16">
        <f t="shared" si="0"/>
        <v>41</v>
      </c>
      <c r="F50" s="33">
        <f t="shared" si="1"/>
        <v>0</v>
      </c>
      <c r="G50" s="9"/>
      <c r="H50" s="9"/>
      <c r="I50" s="36">
        <f t="shared" si="2"/>
        <v>1</v>
      </c>
      <c r="J50" s="9"/>
      <c r="K50" s="6" t="s">
        <v>6</v>
      </c>
      <c r="L50" s="25">
        <f t="shared" si="3"/>
        <v>0</v>
      </c>
    </row>
    <row r="51" spans="1:12" x14ac:dyDescent="0.25">
      <c r="E51" s="16">
        <f t="shared" si="0"/>
        <v>42</v>
      </c>
      <c r="F51" s="33">
        <f t="shared" si="1"/>
        <v>0</v>
      </c>
      <c r="G51" s="9"/>
      <c r="H51" s="9"/>
      <c r="I51" s="36">
        <f t="shared" si="2"/>
        <v>1</v>
      </c>
      <c r="J51" s="9"/>
      <c r="K51" s="6" t="s">
        <v>6</v>
      </c>
      <c r="L51" s="25">
        <f t="shared" si="3"/>
        <v>0</v>
      </c>
    </row>
    <row r="52" spans="1:12" x14ac:dyDescent="0.25">
      <c r="E52" s="16">
        <f t="shared" si="0"/>
        <v>43</v>
      </c>
      <c r="F52" s="33">
        <f t="shared" si="1"/>
        <v>0</v>
      </c>
      <c r="G52" s="9"/>
      <c r="H52" s="9"/>
      <c r="I52" s="36">
        <f t="shared" si="2"/>
        <v>1</v>
      </c>
      <c r="J52" s="9"/>
      <c r="K52" s="6" t="s">
        <v>6</v>
      </c>
      <c r="L52" s="25">
        <f t="shared" si="3"/>
        <v>0</v>
      </c>
    </row>
    <row r="53" spans="1:12" x14ac:dyDescent="0.25">
      <c r="E53" s="16">
        <f t="shared" si="0"/>
        <v>44</v>
      </c>
      <c r="F53" s="33">
        <f t="shared" si="1"/>
        <v>0</v>
      </c>
      <c r="G53" s="9"/>
      <c r="H53" s="9"/>
      <c r="I53" s="36">
        <f t="shared" si="2"/>
        <v>1</v>
      </c>
      <c r="J53" s="9"/>
      <c r="K53" s="6" t="s">
        <v>6</v>
      </c>
      <c r="L53" s="25">
        <f t="shared" si="3"/>
        <v>0</v>
      </c>
    </row>
    <row r="54" spans="1:12" x14ac:dyDescent="0.25">
      <c r="E54" s="16">
        <f t="shared" si="0"/>
        <v>45</v>
      </c>
      <c r="F54" s="33">
        <f t="shared" si="1"/>
        <v>0</v>
      </c>
      <c r="G54" s="9"/>
      <c r="H54" s="9"/>
      <c r="I54" s="36">
        <f t="shared" si="2"/>
        <v>1</v>
      </c>
      <c r="J54" s="9"/>
      <c r="K54" s="6" t="s">
        <v>6</v>
      </c>
      <c r="L54" s="25">
        <f t="shared" si="3"/>
        <v>0</v>
      </c>
    </row>
    <row r="55" spans="1:12" x14ac:dyDescent="0.25">
      <c r="E55" s="16">
        <f t="shared" si="0"/>
        <v>46</v>
      </c>
      <c r="F55" s="33">
        <f t="shared" si="1"/>
        <v>0</v>
      </c>
      <c r="G55" s="9"/>
      <c r="H55" s="9"/>
      <c r="I55" s="36">
        <f t="shared" si="2"/>
        <v>1</v>
      </c>
      <c r="J55" s="9"/>
      <c r="K55" s="6" t="s">
        <v>6</v>
      </c>
      <c r="L55" s="25">
        <f t="shared" si="3"/>
        <v>0</v>
      </c>
    </row>
    <row r="56" spans="1:12" x14ac:dyDescent="0.25">
      <c r="E56" s="16">
        <f t="shared" si="0"/>
        <v>47</v>
      </c>
      <c r="F56" s="33">
        <f t="shared" si="1"/>
        <v>0</v>
      </c>
      <c r="G56" s="9"/>
      <c r="H56" s="9"/>
      <c r="I56" s="36">
        <f t="shared" si="2"/>
        <v>1</v>
      </c>
      <c r="J56" s="9"/>
      <c r="K56" s="6" t="s">
        <v>6</v>
      </c>
      <c r="L56" s="25">
        <f t="shared" si="3"/>
        <v>0</v>
      </c>
    </row>
    <row r="57" spans="1:12" x14ac:dyDescent="0.25">
      <c r="E57" s="16">
        <f>E56+1</f>
        <v>48</v>
      </c>
      <c r="F57" s="33">
        <f t="shared" si="1"/>
        <v>0</v>
      </c>
      <c r="G57" s="9"/>
      <c r="H57" s="9"/>
      <c r="I57" s="36">
        <f t="shared" si="2"/>
        <v>1</v>
      </c>
      <c r="J57" s="9"/>
      <c r="K57" s="6" t="s">
        <v>6</v>
      </c>
      <c r="L57" s="25">
        <f t="shared" si="3"/>
        <v>0</v>
      </c>
    </row>
    <row r="58" spans="1:12" x14ac:dyDescent="0.25">
      <c r="E58" s="16">
        <f t="shared" ref="E58:E59" si="4">E57+1</f>
        <v>49</v>
      </c>
      <c r="F58" s="33">
        <f t="shared" si="1"/>
        <v>0</v>
      </c>
      <c r="G58" s="9"/>
      <c r="H58" s="9"/>
      <c r="I58" s="36">
        <f t="shared" si="2"/>
        <v>1</v>
      </c>
      <c r="J58" s="9"/>
      <c r="K58" s="6" t="s">
        <v>6</v>
      </c>
      <c r="L58" s="25">
        <f t="shared" si="3"/>
        <v>0</v>
      </c>
    </row>
    <row r="59" spans="1:12" x14ac:dyDescent="0.25">
      <c r="E59" s="17">
        <f t="shared" si="4"/>
        <v>50</v>
      </c>
      <c r="F59" s="12">
        <f t="shared" si="1"/>
        <v>0</v>
      </c>
      <c r="G59" s="22"/>
      <c r="H59" s="22"/>
      <c r="I59" s="37">
        <f t="shared" si="2"/>
        <v>1</v>
      </c>
      <c r="J59" s="22"/>
      <c r="K59" s="6" t="s">
        <v>6</v>
      </c>
      <c r="L59" s="25">
        <f t="shared" si="3"/>
        <v>0</v>
      </c>
    </row>
    <row r="60" spans="1:12" x14ac:dyDescent="0.25">
      <c r="A60" s="6" t="s">
        <v>6</v>
      </c>
      <c r="B60" s="6" t="s">
        <v>6</v>
      </c>
      <c r="C60" s="6" t="s">
        <v>6</v>
      </c>
      <c r="D60" s="6" t="s">
        <v>6</v>
      </c>
      <c r="E60" s="6" t="s">
        <v>6</v>
      </c>
      <c r="F60" s="6" t="s">
        <v>6</v>
      </c>
      <c r="G60" s="6" t="s">
        <v>6</v>
      </c>
      <c r="H60" s="6" t="s">
        <v>6</v>
      </c>
      <c r="I60" s="6" t="s">
        <v>6</v>
      </c>
      <c r="J60" s="6" t="s">
        <v>6</v>
      </c>
      <c r="K60" s="6" t="s">
        <v>6</v>
      </c>
    </row>
  </sheetData>
  <mergeCells count="2">
    <mergeCell ref="B18:C30"/>
    <mergeCell ref="O3:P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election activeCell="A2" sqref="A2"/>
    </sheetView>
  </sheetViews>
  <sheetFormatPr defaultColWidth="11.42578125" defaultRowHeight="15" x14ac:dyDescent="0.25"/>
  <cols>
    <col min="2" max="2" width="67.85546875" customWidth="1"/>
    <col min="6" max="6" width="50.7109375" customWidth="1"/>
  </cols>
  <sheetData>
    <row r="1" spans="1:7" x14ac:dyDescent="0.25">
      <c r="A1" s="142" t="s">
        <v>112</v>
      </c>
    </row>
    <row r="2" spans="1:7" x14ac:dyDescent="0.25">
      <c r="A2" t="s">
        <v>121</v>
      </c>
    </row>
    <row r="4" spans="1:7" x14ac:dyDescent="0.25">
      <c r="B4" s="177" t="s">
        <v>0</v>
      </c>
      <c r="C4" s="178"/>
      <c r="F4" s="177" t="s">
        <v>0</v>
      </c>
      <c r="G4" s="178"/>
    </row>
    <row r="5" spans="1:7" x14ac:dyDescent="0.25">
      <c r="B5" s="51" t="s">
        <v>36</v>
      </c>
      <c r="C5" s="52">
        <v>70</v>
      </c>
      <c r="F5" s="51" t="s">
        <v>37</v>
      </c>
      <c r="G5" s="51">
        <v>10</v>
      </c>
    </row>
    <row r="6" spans="1:7" x14ac:dyDescent="0.25">
      <c r="B6" s="94" t="s">
        <v>38</v>
      </c>
      <c r="C6" s="95">
        <v>100</v>
      </c>
      <c r="F6" s="53" t="s">
        <v>39</v>
      </c>
      <c r="G6" s="149">
        <v>0.02</v>
      </c>
    </row>
    <row r="7" spans="1:7" x14ac:dyDescent="0.25">
      <c r="B7" s="53" t="s">
        <v>41</v>
      </c>
      <c r="C7" s="96">
        <v>0.4</v>
      </c>
      <c r="D7" s="74"/>
      <c r="F7" s="55" t="s">
        <v>40</v>
      </c>
      <c r="G7" s="150">
        <v>0.3</v>
      </c>
    </row>
    <row r="8" spans="1:7" x14ac:dyDescent="0.25">
      <c r="B8" s="53" t="s">
        <v>42</v>
      </c>
      <c r="C8" s="54">
        <v>0.1</v>
      </c>
      <c r="F8" s="177" t="s">
        <v>77</v>
      </c>
      <c r="G8" s="178"/>
    </row>
    <row r="9" spans="1:7" x14ac:dyDescent="0.25">
      <c r="B9" s="55" t="s">
        <v>44</v>
      </c>
      <c r="C9" s="56">
        <v>0.3</v>
      </c>
      <c r="F9" s="97" t="s">
        <v>43</v>
      </c>
      <c r="G9" s="151">
        <f>((1-gamma)*((1-p)*(1-(1-p)^n)/p)+n*gamma)/n</f>
        <v>0.92744027237571525</v>
      </c>
    </row>
    <row r="10" spans="1:7" x14ac:dyDescent="0.25">
      <c r="B10" s="177" t="s">
        <v>78</v>
      </c>
      <c r="C10" s="178"/>
    </row>
    <row r="11" spans="1:7" x14ac:dyDescent="0.25">
      <c r="B11" s="60" t="s">
        <v>45</v>
      </c>
      <c r="C11" s="146">
        <f>FV_l-FV_a</f>
        <v>30</v>
      </c>
    </row>
    <row r="12" spans="1:7" x14ac:dyDescent="0.25">
      <c r="B12" s="61" t="s">
        <v>46</v>
      </c>
      <c r="C12" s="147">
        <f>SQRT((RSD_a*FV_a)^2+(RSD_l*FV_l)^2-2*(RSD_a*FV_a)*(RSD_l*FV_l)*corr_a_l)</f>
        <v>26.758176320519304</v>
      </c>
    </row>
    <row r="13" spans="1:7" ht="17.25" customHeight="1" x14ac:dyDescent="0.25">
      <c r="B13" s="177" t="s">
        <v>0</v>
      </c>
      <c r="C13" s="178"/>
    </row>
    <row r="14" spans="1:7" x14ac:dyDescent="0.25">
      <c r="B14" s="57" t="s">
        <v>47</v>
      </c>
      <c r="C14" s="51">
        <v>50</v>
      </c>
    </row>
    <row r="15" spans="1:7" x14ac:dyDescent="0.25">
      <c r="B15" s="55" t="s">
        <v>48</v>
      </c>
      <c r="C15" s="148" t="s">
        <v>49</v>
      </c>
    </row>
    <row r="16" spans="1:7" x14ac:dyDescent="0.25">
      <c r="B16" s="177" t="s">
        <v>78</v>
      </c>
      <c r="C16" s="178"/>
    </row>
    <row r="17" spans="2:7" s="19" customFormat="1" x14ac:dyDescent="0.25">
      <c r="B17" s="60" t="s">
        <v>50</v>
      </c>
      <c r="C17" s="62">
        <f>IF(SS_stdev&gt;0,1-NORMDIST(SS_max,SS_mean,SS_stdev,TRUE),IF(SS_mean&gt;SS_max,1,0))</f>
        <v>0.22740048450312145</v>
      </c>
    </row>
    <row r="18" spans="2:7" x14ac:dyDescent="0.25">
      <c r="B18" s="63" t="s">
        <v>51</v>
      </c>
      <c r="C18" s="64">
        <f>IF(SS_stdev&gt;0,(SS_mean-SS_max)*p_exc+SS_stdev*NORMDIST((SS_max-SS_mean)/SS_stdev,0,1,FALSE),MAX(0,SS_mean-SS_max))</f>
        <v>3.5253679811726695</v>
      </c>
    </row>
    <row r="19" spans="2:7" x14ac:dyDescent="0.25">
      <c r="B19" s="63" t="s">
        <v>52</v>
      </c>
      <c r="C19" s="64">
        <f>IF(C15="YES",0,IF(SS_stdev&gt;0,SS_mean*NORMDIST(-SS_mean/SS_stdev,0,1,TRUE)-SS_stdev*NORMDIST(SS_mean/SS_stdev,0,1,FALSE),MIN(0,SS_mean)))</f>
        <v>0</v>
      </c>
      <c r="E19" s="48"/>
    </row>
    <row r="20" spans="2:7" x14ac:dyDescent="0.25">
      <c r="B20" s="63" t="s">
        <v>53</v>
      </c>
      <c r="C20" s="64">
        <f>-(C18+C19)</f>
        <v>-3.5253679811726695</v>
      </c>
      <c r="E20" s="49"/>
      <c r="F20" s="179" t="s">
        <v>1</v>
      </c>
      <c r="G20" s="180"/>
    </row>
    <row r="21" spans="2:7" x14ac:dyDescent="0.25">
      <c r="B21" s="143" t="s">
        <v>54</v>
      </c>
      <c r="C21" s="98">
        <f>SS_mean+C20</f>
        <v>26.474632018827329</v>
      </c>
      <c r="F21" s="97" t="s">
        <v>66</v>
      </c>
      <c r="G21" s="65">
        <f>C21*G9</f>
        <v>24.553639930588051</v>
      </c>
    </row>
    <row r="23" spans="2:7" x14ac:dyDescent="0.25">
      <c r="B23" s="50"/>
    </row>
    <row r="24" spans="2:7" x14ac:dyDescent="0.25">
      <c r="B24" s="177" t="s">
        <v>18</v>
      </c>
      <c r="C24" s="181"/>
      <c r="D24" s="178"/>
    </row>
    <row r="25" spans="2:7" x14ac:dyDescent="0.25">
      <c r="B25" s="87" t="s">
        <v>36</v>
      </c>
      <c r="C25" s="66"/>
      <c r="D25" s="86"/>
    </row>
    <row r="26" spans="2:7" x14ac:dyDescent="0.25">
      <c r="B26" s="68" t="s">
        <v>55</v>
      </c>
      <c r="C26" s="47"/>
      <c r="D26" s="69"/>
    </row>
    <row r="27" spans="2:7" x14ac:dyDescent="0.25">
      <c r="B27" s="68"/>
      <c r="C27" s="44"/>
      <c r="D27" s="88"/>
    </row>
    <row r="28" spans="2:7" x14ac:dyDescent="0.25">
      <c r="B28" s="87" t="s">
        <v>56</v>
      </c>
      <c r="C28" s="66"/>
      <c r="D28" s="89"/>
    </row>
    <row r="29" spans="2:7" ht="30" customHeight="1" x14ac:dyDescent="0.25">
      <c r="B29" s="182" t="s">
        <v>57</v>
      </c>
      <c r="C29" s="183"/>
      <c r="D29" s="184"/>
    </row>
    <row r="30" spans="2:7" x14ac:dyDescent="0.25">
      <c r="B30" s="68"/>
      <c r="C30" s="44"/>
      <c r="D30" s="88"/>
    </row>
    <row r="31" spans="2:7" ht="15" customHeight="1" x14ac:dyDescent="0.25">
      <c r="B31" s="87" t="s">
        <v>41</v>
      </c>
      <c r="C31" s="66"/>
      <c r="D31" s="92"/>
    </row>
    <row r="32" spans="2:7" ht="135.75" customHeight="1" x14ac:dyDescent="0.25">
      <c r="B32" s="168" t="s">
        <v>58</v>
      </c>
      <c r="C32" s="169"/>
      <c r="D32" s="170"/>
    </row>
    <row r="33" spans="2:4" ht="15.75" customHeight="1" x14ac:dyDescent="0.25">
      <c r="B33" s="90"/>
      <c r="C33" s="91"/>
      <c r="D33" s="92"/>
    </row>
    <row r="34" spans="2:4" ht="15" customHeight="1" x14ac:dyDescent="0.25">
      <c r="B34" s="185" t="s">
        <v>42</v>
      </c>
      <c r="C34" s="186"/>
      <c r="D34" s="187"/>
    </row>
    <row r="35" spans="2:4" ht="210" customHeight="1" x14ac:dyDescent="0.25">
      <c r="B35" s="168" t="s">
        <v>61</v>
      </c>
      <c r="C35" s="169"/>
      <c r="D35" s="170"/>
    </row>
    <row r="36" spans="2:4" x14ac:dyDescent="0.25">
      <c r="B36" s="68"/>
      <c r="C36" s="44"/>
      <c r="D36" s="88"/>
    </row>
    <row r="37" spans="2:4" ht="15" customHeight="1" x14ac:dyDescent="0.25">
      <c r="B37" s="99" t="s">
        <v>44</v>
      </c>
      <c r="C37" s="66"/>
      <c r="D37" s="93"/>
    </row>
    <row r="38" spans="2:4" ht="166.5" customHeight="1" x14ac:dyDescent="0.25">
      <c r="B38" s="174" t="s">
        <v>59</v>
      </c>
      <c r="C38" s="175"/>
      <c r="D38" s="176"/>
    </row>
    <row r="39" spans="2:4" x14ac:dyDescent="0.25">
      <c r="B39" s="68"/>
      <c r="C39" s="44"/>
      <c r="D39" s="88"/>
    </row>
    <row r="40" spans="2:4" ht="15" customHeight="1" x14ac:dyDescent="0.25">
      <c r="B40" s="99" t="s">
        <v>47</v>
      </c>
      <c r="C40" s="66"/>
      <c r="D40" s="92"/>
    </row>
    <row r="41" spans="2:4" ht="48" customHeight="1" x14ac:dyDescent="0.25">
      <c r="B41" s="168" t="s">
        <v>119</v>
      </c>
      <c r="C41" s="169"/>
      <c r="D41" s="170"/>
    </row>
    <row r="42" spans="2:4" x14ac:dyDescent="0.25">
      <c r="B42" s="87" t="s">
        <v>48</v>
      </c>
      <c r="C42" s="66"/>
      <c r="D42" s="88"/>
    </row>
    <row r="43" spans="2:4" ht="45.75" customHeight="1" x14ac:dyDescent="0.25">
      <c r="B43" s="171" t="s">
        <v>60</v>
      </c>
      <c r="C43" s="172"/>
      <c r="D43" s="173"/>
    </row>
    <row r="44" spans="2:4" x14ac:dyDescent="0.25">
      <c r="B44" s="13"/>
    </row>
    <row r="45" spans="2:4" x14ac:dyDescent="0.25">
      <c r="B45" s="13"/>
    </row>
    <row r="46" spans="2:4" ht="45" customHeight="1" x14ac:dyDescent="0.25">
      <c r="B46" s="13"/>
    </row>
    <row r="47" spans="2:4" x14ac:dyDescent="0.25">
      <c r="B47" s="13"/>
    </row>
    <row r="48" spans="2:4" x14ac:dyDescent="0.25">
      <c r="B48" s="19"/>
    </row>
  </sheetData>
  <mergeCells count="15">
    <mergeCell ref="B35:D35"/>
    <mergeCell ref="B43:D43"/>
    <mergeCell ref="B38:D38"/>
    <mergeCell ref="B41:D41"/>
    <mergeCell ref="F4:G4"/>
    <mergeCell ref="F8:G8"/>
    <mergeCell ref="B10:C10"/>
    <mergeCell ref="B13:C13"/>
    <mergeCell ref="B16:C16"/>
    <mergeCell ref="F20:G20"/>
    <mergeCell ref="B4:C4"/>
    <mergeCell ref="B24:D24"/>
    <mergeCell ref="B29:D29"/>
    <mergeCell ref="B34:D34"/>
    <mergeCell ref="B32:D32"/>
  </mergeCells>
  <dataValidations disablePrompts="1" count="1">
    <dataValidation type="list" allowBlank="1" showInputMessage="1" showErrorMessage="1" sqref="C15">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workbookViewId="0">
      <selection activeCell="A2" sqref="A2"/>
    </sheetView>
  </sheetViews>
  <sheetFormatPr defaultColWidth="9.140625" defaultRowHeight="15" x14ac:dyDescent="0.25"/>
  <cols>
    <col min="2" max="2" width="82.28515625" customWidth="1"/>
    <col min="3" max="3" width="10.7109375" customWidth="1"/>
    <col min="4" max="4" width="3.7109375" style="7" customWidth="1"/>
    <col min="6" max="8" width="9.140625" hidden="1" customWidth="1"/>
    <col min="9" max="16" width="9.140625" customWidth="1"/>
  </cols>
  <sheetData>
    <row r="1" spans="1:16" x14ac:dyDescent="0.25">
      <c r="A1" s="142" t="s">
        <v>113</v>
      </c>
      <c r="D1" s="6" t="s">
        <v>6</v>
      </c>
    </row>
    <row r="2" spans="1:16" ht="15" customHeight="1" x14ac:dyDescent="0.25">
      <c r="A2" s="144" t="s">
        <v>122</v>
      </c>
      <c r="D2" s="6" t="s">
        <v>6</v>
      </c>
    </row>
    <row r="3" spans="1:16" x14ac:dyDescent="0.25">
      <c r="D3" s="6" t="s">
        <v>6</v>
      </c>
      <c r="G3" s="85">
        <v>0</v>
      </c>
      <c r="H3" s="85">
        <f>C8</f>
        <v>0.01</v>
      </c>
    </row>
    <row r="4" spans="1:16" x14ac:dyDescent="0.25">
      <c r="B4" s="5" t="s">
        <v>0</v>
      </c>
      <c r="C4" s="4"/>
      <c r="D4" s="6" t="s">
        <v>6</v>
      </c>
      <c r="G4" s="84" t="s">
        <v>76</v>
      </c>
      <c r="H4" s="84" t="s">
        <v>76</v>
      </c>
    </row>
    <row r="5" spans="1:16" x14ac:dyDescent="0.25">
      <c r="A5" s="2" t="s">
        <v>75</v>
      </c>
      <c r="B5" s="74" t="s">
        <v>74</v>
      </c>
      <c r="C5" s="8">
        <v>70</v>
      </c>
      <c r="D5" s="6" t="s">
        <v>6</v>
      </c>
      <c r="F5">
        <v>1</v>
      </c>
      <c r="G5">
        <f t="shared" ref="G5:G36" si="0">((1-$G$3)^F5)/$C$7+((1-$G$3)^(F5-1))*$G$3*$C$10*(1-(F5-1)/$C$7)</f>
        <v>0.05</v>
      </c>
      <c r="H5">
        <f t="shared" ref="H5:H36" si="1">((1-$C$8)^F5)/$C$7+((1-$C$8)^(F5-1))*$C$8*$C$10*(1-(F5-1)/$C$7)</f>
        <v>5.2500000000000005E-2</v>
      </c>
    </row>
    <row r="6" spans="1:16" x14ac:dyDescent="0.25">
      <c r="A6" s="2" t="s">
        <v>73</v>
      </c>
      <c r="B6" s="74" t="s">
        <v>72</v>
      </c>
      <c r="C6" s="9">
        <v>100</v>
      </c>
      <c r="D6" s="6" t="s">
        <v>6</v>
      </c>
      <c r="E6" s="80"/>
      <c r="F6">
        <f t="shared" ref="F6:F37" si="2">F5+1</f>
        <v>2</v>
      </c>
      <c r="G6">
        <f t="shared" si="0"/>
        <v>0.05</v>
      </c>
      <c r="H6">
        <f t="shared" si="1"/>
        <v>5.1826499999999998E-2</v>
      </c>
      <c r="I6" s="80"/>
      <c r="J6" s="80"/>
      <c r="K6" s="80"/>
      <c r="L6" s="80"/>
      <c r="M6" s="80"/>
      <c r="N6" s="80"/>
      <c r="O6" s="80"/>
      <c r="P6" s="80"/>
    </row>
    <row r="7" spans="1:16" x14ac:dyDescent="0.25">
      <c r="A7" s="2" t="s">
        <v>3</v>
      </c>
      <c r="B7" s="74" t="s">
        <v>2</v>
      </c>
      <c r="C7" s="9">
        <v>20</v>
      </c>
      <c r="D7" s="6" t="s">
        <v>6</v>
      </c>
      <c r="E7" s="80"/>
      <c r="F7">
        <f t="shared" si="2"/>
        <v>3</v>
      </c>
      <c r="G7">
        <f t="shared" si="0"/>
        <v>0.05</v>
      </c>
      <c r="H7">
        <f t="shared" si="1"/>
        <v>5.1161219999999993E-2</v>
      </c>
      <c r="I7" s="80"/>
      <c r="J7" s="80"/>
      <c r="K7" s="80"/>
      <c r="L7" s="80"/>
      <c r="M7" s="80"/>
      <c r="N7" s="80"/>
      <c r="O7" s="80"/>
      <c r="P7" s="80"/>
    </row>
    <row r="8" spans="1:16" ht="18" x14ac:dyDescent="0.35">
      <c r="A8" s="2" t="s">
        <v>4</v>
      </c>
      <c r="B8" s="74" t="s">
        <v>5</v>
      </c>
      <c r="C8" s="10">
        <v>0.01</v>
      </c>
      <c r="D8" s="6" t="s">
        <v>6</v>
      </c>
      <c r="F8">
        <f t="shared" si="2"/>
        <v>4</v>
      </c>
      <c r="G8">
        <f t="shared" si="0"/>
        <v>0.05</v>
      </c>
      <c r="H8">
        <f t="shared" si="1"/>
        <v>5.0504062949999998E-2</v>
      </c>
    </row>
    <row r="9" spans="1:16" x14ac:dyDescent="0.25">
      <c r="A9" s="2" t="s">
        <v>71</v>
      </c>
      <c r="B9" s="74" t="s">
        <v>70</v>
      </c>
      <c r="C9" s="9">
        <v>100</v>
      </c>
      <c r="D9" s="6" t="s">
        <v>6</v>
      </c>
      <c r="F9">
        <f t="shared" si="2"/>
        <v>5</v>
      </c>
      <c r="G9">
        <f t="shared" si="0"/>
        <v>0.05</v>
      </c>
      <c r="H9">
        <f t="shared" si="1"/>
        <v>4.9854932918999992E-2</v>
      </c>
      <c r="I9" s="83"/>
      <c r="J9" s="83"/>
      <c r="K9" s="83"/>
      <c r="L9" s="83"/>
      <c r="M9" s="83"/>
      <c r="N9" s="83"/>
      <c r="O9" s="83"/>
      <c r="P9" s="83"/>
    </row>
    <row r="10" spans="1:16" x14ac:dyDescent="0.25">
      <c r="A10" s="2" t="s">
        <v>69</v>
      </c>
      <c r="B10" s="3" t="s">
        <v>68</v>
      </c>
      <c r="C10" s="82">
        <v>0.3</v>
      </c>
      <c r="D10" s="6" t="s">
        <v>6</v>
      </c>
      <c r="E10" s="80"/>
      <c r="F10">
        <f t="shared" si="2"/>
        <v>6</v>
      </c>
      <c r="G10">
        <f t="shared" si="0"/>
        <v>0.05</v>
      </c>
      <c r="H10">
        <f t="shared" si="1"/>
        <v>4.9213735082324996E-2</v>
      </c>
      <c r="I10" s="80"/>
      <c r="J10" s="80"/>
      <c r="K10" s="80"/>
      <c r="L10" s="80"/>
      <c r="M10" s="80"/>
      <c r="N10" s="80"/>
      <c r="O10" s="80"/>
      <c r="P10" s="80"/>
    </row>
    <row r="11" spans="1:16" x14ac:dyDescent="0.25">
      <c r="B11" s="47"/>
      <c r="C11" s="81"/>
      <c r="D11" s="6" t="s">
        <v>6</v>
      </c>
      <c r="E11" s="80"/>
      <c r="F11">
        <f t="shared" si="2"/>
        <v>7</v>
      </c>
      <c r="G11">
        <f t="shared" si="0"/>
        <v>0.05</v>
      </c>
      <c r="H11">
        <f t="shared" si="1"/>
        <v>4.8580375709091593E-2</v>
      </c>
      <c r="I11" s="80"/>
      <c r="J11" s="80"/>
      <c r="K11" s="80"/>
      <c r="L11" s="80"/>
      <c r="M11" s="80"/>
      <c r="N11" s="80"/>
      <c r="O11" s="80"/>
      <c r="P11" s="80"/>
    </row>
    <row r="12" spans="1:16" x14ac:dyDescent="0.25">
      <c r="D12" s="6" t="s">
        <v>6</v>
      </c>
      <c r="E12" s="79"/>
      <c r="F12">
        <f t="shared" si="2"/>
        <v>8</v>
      </c>
      <c r="G12">
        <f t="shared" si="0"/>
        <v>0.05</v>
      </c>
      <c r="H12">
        <f t="shared" si="1"/>
        <v>4.7954762149814631E-2</v>
      </c>
      <c r="I12" s="79"/>
      <c r="J12" s="79"/>
      <c r="K12" s="79"/>
      <c r="L12" s="79"/>
      <c r="M12" s="79"/>
      <c r="N12" s="79"/>
      <c r="O12" s="79"/>
      <c r="P12" s="79"/>
    </row>
    <row r="13" spans="1:16" x14ac:dyDescent="0.25">
      <c r="B13" s="67" t="s">
        <v>1</v>
      </c>
      <c r="C13" s="78"/>
      <c r="D13" s="6" t="s">
        <v>6</v>
      </c>
      <c r="F13">
        <f t="shared" si="2"/>
        <v>9</v>
      </c>
      <c r="G13">
        <f t="shared" si="0"/>
        <v>0.05</v>
      </c>
      <c r="H13">
        <f t="shared" si="1"/>
        <v>4.7336802824152292E-2</v>
      </c>
    </row>
    <row r="14" spans="1:16" ht="18" x14ac:dyDescent="0.35">
      <c r="A14" s="2" t="s">
        <v>67</v>
      </c>
      <c r="B14" s="1" t="s">
        <v>66</v>
      </c>
      <c r="C14" s="77">
        <f>MIN((C6-C5)*SUM(H5:INDEX(H5:H64,C7)),C9)</f>
        <v>27.92857383676785</v>
      </c>
      <c r="D14" s="6" t="s">
        <v>6</v>
      </c>
      <c r="F14">
        <f t="shared" si="2"/>
        <v>10</v>
      </c>
      <c r="G14">
        <f t="shared" si="0"/>
        <v>0.05</v>
      </c>
      <c r="H14">
        <f t="shared" si="1"/>
        <v>4.672640720878822E-2</v>
      </c>
    </row>
    <row r="15" spans="1:16" x14ac:dyDescent="0.25">
      <c r="B15" s="74" t="s">
        <v>65</v>
      </c>
      <c r="C15" s="12">
        <f>MAX((C6-C5)*SUM(H5:INDEX(H5:H64,C7))-C9,0)</f>
        <v>0</v>
      </c>
      <c r="D15" s="6" t="s">
        <v>6</v>
      </c>
      <c r="F15">
        <f t="shared" si="2"/>
        <v>11</v>
      </c>
      <c r="G15">
        <f t="shared" si="0"/>
        <v>0.05</v>
      </c>
      <c r="H15">
        <f t="shared" si="1"/>
        <v>4.612348582544902E-2</v>
      </c>
    </row>
    <row r="16" spans="1:16" x14ac:dyDescent="0.25">
      <c r="A16" s="2"/>
      <c r="B16" s="76"/>
      <c r="C16" s="75"/>
      <c r="D16" s="6" t="s">
        <v>6</v>
      </c>
      <c r="F16">
        <f t="shared" si="2"/>
        <v>12</v>
      </c>
      <c r="G16">
        <f t="shared" si="0"/>
        <v>0.05</v>
      </c>
      <c r="H16">
        <f t="shared" si="1"/>
        <v>4.5527950229055723E-2</v>
      </c>
    </row>
    <row r="17" spans="1:8" x14ac:dyDescent="0.25">
      <c r="B17" s="74" t="s">
        <v>64</v>
      </c>
      <c r="C17" s="11">
        <f>(C6-C5)*SUM(G5:INDEX(G5:G64,C7))</f>
        <v>30.000000000000007</v>
      </c>
      <c r="D17" s="6" t="s">
        <v>6</v>
      </c>
      <c r="F17">
        <f t="shared" si="2"/>
        <v>13</v>
      </c>
      <c r="G17">
        <f t="shared" si="0"/>
        <v>0.05</v>
      </c>
      <c r="H17">
        <f t="shared" si="1"/>
        <v>4.4939712996007741E-2</v>
      </c>
    </row>
    <row r="18" spans="1:8" x14ac:dyDescent="0.25">
      <c r="B18" s="3" t="s">
        <v>63</v>
      </c>
      <c r="C18" s="12">
        <f>C14-C17</f>
        <v>-2.0714261632321573</v>
      </c>
      <c r="D18" s="6" t="s">
        <v>6</v>
      </c>
      <c r="F18">
        <f t="shared" si="2"/>
        <v>14</v>
      </c>
      <c r="G18">
        <f t="shared" si="0"/>
        <v>0.05</v>
      </c>
      <c r="H18">
        <f t="shared" si="1"/>
        <v>4.4358687712597822E-2</v>
      </c>
    </row>
    <row r="19" spans="1:8" x14ac:dyDescent="0.25">
      <c r="A19" s="73"/>
      <c r="B19" s="72"/>
      <c r="C19" s="71"/>
      <c r="D19" s="6" t="s">
        <v>6</v>
      </c>
      <c r="F19">
        <f t="shared" si="2"/>
        <v>15</v>
      </c>
      <c r="G19">
        <f t="shared" si="0"/>
        <v>0.05</v>
      </c>
      <c r="H19">
        <f t="shared" si="1"/>
        <v>4.3784788963556497E-2</v>
      </c>
    </row>
    <row r="20" spans="1:8" x14ac:dyDescent="0.25">
      <c r="A20" s="70"/>
      <c r="B20" s="70"/>
      <c r="C20" s="70"/>
      <c r="D20" s="6" t="s">
        <v>6</v>
      </c>
      <c r="F20">
        <f t="shared" si="2"/>
        <v>16</v>
      </c>
      <c r="G20">
        <f t="shared" si="0"/>
        <v>0.05</v>
      </c>
      <c r="H20">
        <f t="shared" si="1"/>
        <v>4.3217932320724732E-2</v>
      </c>
    </row>
    <row r="21" spans="1:8" x14ac:dyDescent="0.25">
      <c r="D21" s="6" t="s">
        <v>6</v>
      </c>
      <c r="F21">
        <f t="shared" si="2"/>
        <v>17</v>
      </c>
      <c r="G21">
        <f t="shared" si="0"/>
        <v>0.05</v>
      </c>
      <c r="H21">
        <f t="shared" si="1"/>
        <v>4.2658034331853258E-2</v>
      </c>
    </row>
    <row r="22" spans="1:8" x14ac:dyDescent="0.25">
      <c r="B22" s="5" t="s">
        <v>62</v>
      </c>
      <c r="C22" s="4"/>
      <c r="D22" s="6" t="s">
        <v>6</v>
      </c>
      <c r="F22">
        <f t="shared" si="2"/>
        <v>18</v>
      </c>
      <c r="G22">
        <f t="shared" si="0"/>
        <v>0.05</v>
      </c>
      <c r="H22">
        <f t="shared" si="1"/>
        <v>4.2105012509527133E-2</v>
      </c>
    </row>
    <row r="23" spans="1:8" x14ac:dyDescent="0.25">
      <c r="B23" s="158" t="s">
        <v>116</v>
      </c>
      <c r="C23" s="188"/>
      <c r="D23" s="6" t="s">
        <v>6</v>
      </c>
      <c r="F23">
        <f t="shared" si="2"/>
        <v>19</v>
      </c>
      <c r="G23">
        <f t="shared" si="0"/>
        <v>0.05</v>
      </c>
      <c r="H23">
        <f t="shared" si="1"/>
        <v>4.1558785320214349E-2</v>
      </c>
    </row>
    <row r="24" spans="1:8" x14ac:dyDescent="0.25">
      <c r="B24" s="189"/>
      <c r="C24" s="190"/>
      <c r="D24" s="6" t="s">
        <v>6</v>
      </c>
      <c r="F24">
        <f t="shared" si="2"/>
        <v>20</v>
      </c>
      <c r="G24">
        <f t="shared" si="0"/>
        <v>0.05</v>
      </c>
      <c r="H24">
        <f t="shared" si="1"/>
        <v>4.1019272173436865E-2</v>
      </c>
    </row>
    <row r="25" spans="1:8" x14ac:dyDescent="0.25">
      <c r="B25" s="189"/>
      <c r="C25" s="190"/>
      <c r="D25" s="6" t="s">
        <v>6</v>
      </c>
      <c r="F25">
        <f t="shared" si="2"/>
        <v>21</v>
      </c>
      <c r="G25">
        <f t="shared" si="0"/>
        <v>0.05</v>
      </c>
      <c r="H25">
        <f t="shared" si="1"/>
        <v>4.0486393411062915E-2</v>
      </c>
    </row>
    <row r="26" spans="1:8" x14ac:dyDescent="0.25">
      <c r="B26" s="189"/>
      <c r="C26" s="190"/>
      <c r="D26" s="6" t="s">
        <v>6</v>
      </c>
      <c r="F26">
        <f t="shared" si="2"/>
        <v>22</v>
      </c>
      <c r="G26">
        <f t="shared" si="0"/>
        <v>0.05</v>
      </c>
      <c r="H26">
        <f t="shared" si="1"/>
        <v>3.9960070296719094E-2</v>
      </c>
    </row>
    <row r="27" spans="1:8" x14ac:dyDescent="0.25">
      <c r="B27" s="189"/>
      <c r="C27" s="190"/>
      <c r="D27" s="6" t="s">
        <v>6</v>
      </c>
      <c r="F27">
        <f t="shared" si="2"/>
        <v>23</v>
      </c>
      <c r="G27">
        <f t="shared" si="0"/>
        <v>0.05</v>
      </c>
      <c r="H27">
        <f t="shared" si="1"/>
        <v>3.9440225005321045E-2</v>
      </c>
    </row>
    <row r="28" spans="1:8" x14ac:dyDescent="0.25">
      <c r="B28" s="189"/>
      <c r="C28" s="190"/>
      <c r="D28" s="6" t="s">
        <v>6</v>
      </c>
      <c r="F28">
        <f t="shared" si="2"/>
        <v>24</v>
      </c>
      <c r="G28">
        <f t="shared" si="0"/>
        <v>0.05</v>
      </c>
      <c r="H28">
        <f t="shared" si="1"/>
        <v>3.8926780612721285E-2</v>
      </c>
    </row>
    <row r="29" spans="1:8" x14ac:dyDescent="0.25">
      <c r="B29" s="189"/>
      <c r="C29" s="190"/>
      <c r="D29" s="6" t="s">
        <v>6</v>
      </c>
      <c r="F29">
        <f t="shared" si="2"/>
        <v>25</v>
      </c>
      <c r="G29">
        <f t="shared" si="0"/>
        <v>0.05</v>
      </c>
      <c r="H29">
        <f t="shared" si="1"/>
        <v>3.8419661085472991E-2</v>
      </c>
    </row>
    <row r="30" spans="1:8" x14ac:dyDescent="0.25">
      <c r="B30" s="189"/>
      <c r="C30" s="190"/>
      <c r="D30" s="6" t="s">
        <v>6</v>
      </c>
      <c r="F30">
        <f t="shared" si="2"/>
        <v>26</v>
      </c>
      <c r="G30">
        <f t="shared" si="0"/>
        <v>0.05</v>
      </c>
      <c r="H30">
        <f t="shared" si="1"/>
        <v>3.7918791270708394E-2</v>
      </c>
    </row>
    <row r="31" spans="1:8" x14ac:dyDescent="0.25">
      <c r="B31" s="189"/>
      <c r="C31" s="190"/>
      <c r="D31" s="6" t="s">
        <v>6</v>
      </c>
      <c r="F31">
        <f t="shared" si="2"/>
        <v>27</v>
      </c>
      <c r="G31">
        <f t="shared" si="0"/>
        <v>0.05</v>
      </c>
      <c r="H31">
        <f t="shared" si="1"/>
        <v>3.7424096886130534E-2</v>
      </c>
    </row>
    <row r="32" spans="1:8" x14ac:dyDescent="0.25">
      <c r="B32" s="189"/>
      <c r="C32" s="190"/>
      <c r="D32" s="6" t="s">
        <v>6</v>
      </c>
      <c r="F32">
        <f t="shared" si="2"/>
        <v>28</v>
      </c>
      <c r="G32">
        <f t="shared" si="0"/>
        <v>0.05</v>
      </c>
      <c r="H32">
        <f t="shared" si="1"/>
        <v>3.6935504510117158E-2</v>
      </c>
    </row>
    <row r="33" spans="1:8" x14ac:dyDescent="0.25">
      <c r="B33" s="189"/>
      <c r="C33" s="190"/>
      <c r="D33" s="6" t="s">
        <v>6</v>
      </c>
      <c r="F33">
        <f t="shared" si="2"/>
        <v>29</v>
      </c>
      <c r="G33">
        <f t="shared" si="0"/>
        <v>0.05</v>
      </c>
      <c r="H33">
        <f t="shared" si="1"/>
        <v>3.6452941571935439E-2</v>
      </c>
    </row>
    <row r="34" spans="1:8" x14ac:dyDescent="0.25">
      <c r="B34" s="189"/>
      <c r="C34" s="190"/>
      <c r="D34" s="6" t="s">
        <v>6</v>
      </c>
      <c r="F34">
        <f t="shared" si="2"/>
        <v>30</v>
      </c>
      <c r="G34">
        <f t="shared" si="0"/>
        <v>0.05</v>
      </c>
      <c r="H34">
        <f t="shared" si="1"/>
        <v>3.5976336342066352E-2</v>
      </c>
    </row>
    <row r="35" spans="1:8" x14ac:dyDescent="0.25">
      <c r="B35" s="189"/>
      <c r="C35" s="190"/>
      <c r="D35" s="6" t="s">
        <v>6</v>
      </c>
      <c r="F35">
        <f t="shared" si="2"/>
        <v>31</v>
      </c>
      <c r="G35">
        <f t="shared" si="0"/>
        <v>0.05</v>
      </c>
      <c r="H35">
        <f t="shared" si="1"/>
        <v>3.5505617922637442E-2</v>
      </c>
    </row>
    <row r="36" spans="1:8" x14ac:dyDescent="0.25">
      <c r="B36" s="189"/>
      <c r="C36" s="190"/>
      <c r="D36" s="6" t="s">
        <v>6</v>
      </c>
      <c r="F36">
        <f t="shared" si="2"/>
        <v>32</v>
      </c>
      <c r="G36">
        <f t="shared" si="0"/>
        <v>0.05</v>
      </c>
      <c r="H36">
        <f t="shared" si="1"/>
        <v>3.5040716237962906E-2</v>
      </c>
    </row>
    <row r="37" spans="1:8" x14ac:dyDescent="0.25">
      <c r="B37" s="191"/>
      <c r="C37" s="192"/>
      <c r="D37" s="6" t="s">
        <v>6</v>
      </c>
      <c r="F37">
        <f t="shared" si="2"/>
        <v>33</v>
      </c>
      <c r="G37">
        <f t="shared" ref="G37:G64" si="3">((1-$G$3)^F37)/$C$7+((1-$G$3)^(F37-1))*$G$3*$C$10*(1-(F37-1)/$C$7)</f>
        <v>0.05</v>
      </c>
      <c r="H37">
        <f t="shared" ref="H37:H64" si="4">((1-$C$8)^F37)/$C$7+((1-$C$8)^(F37-1))*$C$8*$C$10*(1-(F37-1)/$C$7)</f>
        <v>3.4581562025189597E-2</v>
      </c>
    </row>
    <row r="38" spans="1:8" x14ac:dyDescent="0.25">
      <c r="A38" s="6" t="s">
        <v>6</v>
      </c>
      <c r="B38" s="6" t="s">
        <v>6</v>
      </c>
      <c r="C38" s="6" t="s">
        <v>6</v>
      </c>
      <c r="D38" s="6" t="s">
        <v>6</v>
      </c>
      <c r="F38">
        <f t="shared" ref="F38:F64" si="5">F37+1</f>
        <v>34</v>
      </c>
      <c r="G38">
        <f t="shared" si="3"/>
        <v>0.05</v>
      </c>
      <c r="H38">
        <f t="shared" si="4"/>
        <v>3.4128086825047962E-2</v>
      </c>
    </row>
    <row r="39" spans="1:8" x14ac:dyDescent="0.25">
      <c r="F39">
        <f t="shared" si="5"/>
        <v>35</v>
      </c>
      <c r="G39">
        <f t="shared" si="3"/>
        <v>0.05</v>
      </c>
      <c r="H39">
        <f t="shared" si="4"/>
        <v>3.368022297270664E-2</v>
      </c>
    </row>
    <row r="40" spans="1:8" x14ac:dyDescent="0.25">
      <c r="F40">
        <f t="shared" si="5"/>
        <v>36</v>
      </c>
      <c r="G40">
        <f t="shared" si="3"/>
        <v>0.05</v>
      </c>
      <c r="H40">
        <f t="shared" si="4"/>
        <v>3.3237903588729634E-2</v>
      </c>
    </row>
    <row r="41" spans="1:8" x14ac:dyDescent="0.25">
      <c r="F41">
        <f t="shared" si="5"/>
        <v>37</v>
      </c>
      <c r="G41">
        <f t="shared" si="3"/>
        <v>0.05</v>
      </c>
      <c r="H41">
        <f t="shared" si="4"/>
        <v>3.2801062570134903E-2</v>
      </c>
    </row>
    <row r="42" spans="1:8" x14ac:dyDescent="0.25">
      <c r="F42">
        <f t="shared" si="5"/>
        <v>38</v>
      </c>
      <c r="G42">
        <f t="shared" si="3"/>
        <v>0.05</v>
      </c>
      <c r="H42">
        <f t="shared" si="4"/>
        <v>3.2369634581553196E-2</v>
      </c>
    </row>
    <row r="43" spans="1:8" x14ac:dyDescent="0.25">
      <c r="F43">
        <f t="shared" si="5"/>
        <v>39</v>
      </c>
      <c r="G43">
        <f t="shared" si="3"/>
        <v>0.05</v>
      </c>
      <c r="H43">
        <f t="shared" si="4"/>
        <v>3.1943555046486105E-2</v>
      </c>
    </row>
    <row r="44" spans="1:8" x14ac:dyDescent="0.25">
      <c r="F44">
        <f t="shared" si="5"/>
        <v>40</v>
      </c>
      <c r="G44">
        <f t="shared" si="3"/>
        <v>0.05</v>
      </c>
      <c r="H44">
        <f t="shared" si="4"/>
        <v>3.1522760138662197E-2</v>
      </c>
    </row>
    <row r="45" spans="1:8" x14ac:dyDescent="0.25">
      <c r="F45">
        <f t="shared" si="5"/>
        <v>41</v>
      </c>
      <c r="G45">
        <f t="shared" si="3"/>
        <v>0.05</v>
      </c>
      <c r="H45">
        <f t="shared" si="4"/>
        <v>3.1107186773490125E-2</v>
      </c>
    </row>
    <row r="46" spans="1:8" x14ac:dyDescent="0.25">
      <c r="F46">
        <f t="shared" si="5"/>
        <v>42</v>
      </c>
      <c r="G46">
        <f t="shared" si="3"/>
        <v>0.05</v>
      </c>
      <c r="H46">
        <f t="shared" si="4"/>
        <v>3.0696772599607621E-2</v>
      </c>
    </row>
    <row r="47" spans="1:8" x14ac:dyDescent="0.25">
      <c r="F47">
        <f t="shared" si="5"/>
        <v>43</v>
      </c>
      <c r="G47">
        <f t="shared" si="3"/>
        <v>0.05</v>
      </c>
      <c r="H47">
        <f t="shared" si="4"/>
        <v>3.029145599052542E-2</v>
      </c>
    </row>
    <row r="48" spans="1:8" x14ac:dyDescent="0.25">
      <c r="F48">
        <f t="shared" si="5"/>
        <v>44</v>
      </c>
      <c r="G48">
        <f t="shared" si="3"/>
        <v>0.05</v>
      </c>
      <c r="H48">
        <f t="shared" si="4"/>
        <v>2.9891176036364916E-2</v>
      </c>
    </row>
    <row r="49" spans="6:8" x14ac:dyDescent="0.25">
      <c r="F49">
        <f t="shared" si="5"/>
        <v>45</v>
      </c>
      <c r="G49">
        <f t="shared" si="3"/>
        <v>0.05</v>
      </c>
      <c r="H49">
        <f t="shared" si="4"/>
        <v>2.9495872535688552E-2</v>
      </c>
    </row>
    <row r="50" spans="6:8" x14ac:dyDescent="0.25">
      <c r="F50">
        <f t="shared" si="5"/>
        <v>46</v>
      </c>
      <c r="G50">
        <f t="shared" si="3"/>
        <v>0.05</v>
      </c>
      <c r="H50">
        <f t="shared" si="4"/>
        <v>2.9105485987422089E-2</v>
      </c>
    </row>
    <row r="51" spans="6:8" x14ac:dyDescent="0.25">
      <c r="F51">
        <f t="shared" si="5"/>
        <v>47</v>
      </c>
      <c r="G51">
        <f t="shared" si="3"/>
        <v>0.05</v>
      </c>
      <c r="H51">
        <f t="shared" si="4"/>
        <v>2.871995758286738E-2</v>
      </c>
    </row>
    <row r="52" spans="6:8" x14ac:dyDescent="0.25">
      <c r="F52">
        <f t="shared" si="5"/>
        <v>48</v>
      </c>
      <c r="G52">
        <f t="shared" si="3"/>
        <v>0.05</v>
      </c>
      <c r="H52">
        <f t="shared" si="4"/>
        <v>2.833922919780503E-2</v>
      </c>
    </row>
    <row r="53" spans="6:8" x14ac:dyDescent="0.25">
      <c r="F53">
        <f t="shared" si="5"/>
        <v>49</v>
      </c>
      <c r="G53">
        <f t="shared" si="3"/>
        <v>0.05</v>
      </c>
      <c r="H53">
        <f t="shared" si="4"/>
        <v>2.7963243384685629E-2</v>
      </c>
    </row>
    <row r="54" spans="6:8" x14ac:dyDescent="0.25">
      <c r="F54">
        <f t="shared" si="5"/>
        <v>50</v>
      </c>
      <c r="G54">
        <f t="shared" si="3"/>
        <v>0.05</v>
      </c>
      <c r="H54">
        <f t="shared" si="4"/>
        <v>2.7591943364908843E-2</v>
      </c>
    </row>
    <row r="55" spans="6:8" x14ac:dyDescent="0.25">
      <c r="F55">
        <f t="shared" si="5"/>
        <v>51</v>
      </c>
      <c r="G55">
        <f t="shared" si="3"/>
        <v>0.05</v>
      </c>
      <c r="H55">
        <f t="shared" si="4"/>
        <v>2.7225273021189125E-2</v>
      </c>
    </row>
    <row r="56" spans="6:8" x14ac:dyDescent="0.25">
      <c r="F56">
        <f t="shared" si="5"/>
        <v>52</v>
      </c>
      <c r="G56">
        <f t="shared" si="3"/>
        <v>0.05</v>
      </c>
      <c r="H56">
        <f t="shared" si="4"/>
        <v>2.6863176890007313E-2</v>
      </c>
    </row>
    <row r="57" spans="6:8" x14ac:dyDescent="0.25">
      <c r="F57">
        <f t="shared" si="5"/>
        <v>53</v>
      </c>
      <c r="G57">
        <f t="shared" si="3"/>
        <v>0.05</v>
      </c>
      <c r="H57">
        <f t="shared" si="4"/>
        <v>2.6505600154147015E-2</v>
      </c>
    </row>
    <row r="58" spans="6:8" x14ac:dyDescent="0.25">
      <c r="F58">
        <f t="shared" si="5"/>
        <v>54</v>
      </c>
      <c r="G58">
        <f t="shared" si="3"/>
        <v>0.05</v>
      </c>
      <c r="H58">
        <f t="shared" si="4"/>
        <v>2.6152488635314917E-2</v>
      </c>
    </row>
    <row r="59" spans="6:8" x14ac:dyDescent="0.25">
      <c r="F59">
        <f t="shared" si="5"/>
        <v>55</v>
      </c>
      <c r="G59">
        <f t="shared" si="3"/>
        <v>0.05</v>
      </c>
      <c r="H59">
        <f t="shared" si="4"/>
        <v>2.5803788786844056E-2</v>
      </c>
    </row>
    <row r="60" spans="6:8" x14ac:dyDescent="0.25">
      <c r="F60">
        <f t="shared" si="5"/>
        <v>56</v>
      </c>
      <c r="G60">
        <f t="shared" si="3"/>
        <v>0.05</v>
      </c>
      <c r="H60">
        <f t="shared" si="4"/>
        <v>2.5459447686479071E-2</v>
      </c>
    </row>
    <row r="61" spans="6:8" x14ac:dyDescent="0.25">
      <c r="F61">
        <f t="shared" si="5"/>
        <v>57</v>
      </c>
      <c r="G61">
        <f t="shared" si="3"/>
        <v>0.05</v>
      </c>
      <c r="H61">
        <f t="shared" si="4"/>
        <v>2.5119413029242706E-2</v>
      </c>
    </row>
    <row r="62" spans="6:8" x14ac:dyDescent="0.25">
      <c r="F62">
        <f t="shared" si="5"/>
        <v>58</v>
      </c>
      <c r="G62">
        <f t="shared" si="3"/>
        <v>0.05</v>
      </c>
      <c r="H62">
        <f t="shared" si="4"/>
        <v>2.4783633120382422E-2</v>
      </c>
    </row>
    <row r="63" spans="6:8" x14ac:dyDescent="0.25">
      <c r="F63">
        <f t="shared" si="5"/>
        <v>59</v>
      </c>
      <c r="G63">
        <f t="shared" si="3"/>
        <v>0.05</v>
      </c>
      <c r="H63">
        <f t="shared" si="4"/>
        <v>2.4452056868396424E-2</v>
      </c>
    </row>
    <row r="64" spans="6:8" x14ac:dyDescent="0.25">
      <c r="F64">
        <f t="shared" si="5"/>
        <v>60</v>
      </c>
      <c r="G64">
        <f t="shared" si="3"/>
        <v>0.05</v>
      </c>
      <c r="H64">
        <f t="shared" si="4"/>
        <v>2.4124633778138095E-2</v>
      </c>
    </row>
  </sheetData>
  <mergeCells count="1">
    <mergeCell ref="B23:C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8"/>
  <sheetViews>
    <sheetView workbookViewId="0">
      <selection activeCell="A2" sqref="A2"/>
    </sheetView>
  </sheetViews>
  <sheetFormatPr defaultColWidth="9.140625" defaultRowHeight="15" x14ac:dyDescent="0.25"/>
  <cols>
    <col min="2" max="2" width="54" customWidth="1"/>
    <col min="3" max="3" width="19.7109375" customWidth="1"/>
    <col min="4" max="4" width="29" customWidth="1"/>
  </cols>
  <sheetData>
    <row r="1" spans="1:9" x14ac:dyDescent="0.25">
      <c r="A1" s="145" t="s">
        <v>117</v>
      </c>
    </row>
    <row r="2" spans="1:9" x14ac:dyDescent="0.25">
      <c r="A2" s="144" t="s">
        <v>123</v>
      </c>
    </row>
    <row r="3" spans="1:9" x14ac:dyDescent="0.25">
      <c r="A3" s="19"/>
      <c r="B3" s="19"/>
      <c r="C3" s="19"/>
      <c r="D3" s="19"/>
      <c r="E3" s="19"/>
    </row>
    <row r="4" spans="1:9" x14ac:dyDescent="0.25">
      <c r="A4" s="120"/>
      <c r="B4" s="177" t="s">
        <v>102</v>
      </c>
      <c r="C4" s="181"/>
      <c r="D4" s="181"/>
      <c r="E4" s="19"/>
      <c r="F4" s="19"/>
      <c r="I4" s="19"/>
    </row>
    <row r="5" spans="1:9" x14ac:dyDescent="0.25">
      <c r="A5" s="121"/>
      <c r="B5" s="118" t="s">
        <v>101</v>
      </c>
      <c r="C5" s="13"/>
      <c r="D5" s="122">
        <v>2000000</v>
      </c>
      <c r="E5" s="19"/>
      <c r="F5" s="19"/>
      <c r="I5" s="19"/>
    </row>
    <row r="6" spans="1:9" x14ac:dyDescent="0.25">
      <c r="A6" s="121"/>
      <c r="B6" s="118" t="s">
        <v>100</v>
      </c>
      <c r="C6" s="13"/>
      <c r="D6" s="123">
        <v>150000000</v>
      </c>
      <c r="E6" s="19"/>
      <c r="F6" s="19"/>
      <c r="I6" s="19"/>
    </row>
    <row r="7" spans="1:9" x14ac:dyDescent="0.25">
      <c r="A7" s="19"/>
      <c r="B7" s="118" t="s">
        <v>99</v>
      </c>
      <c r="C7" s="13"/>
      <c r="D7" s="123">
        <v>666666</v>
      </c>
      <c r="E7" s="19"/>
      <c r="F7" s="19"/>
      <c r="G7" s="19"/>
      <c r="H7" s="19"/>
      <c r="I7" s="19"/>
    </row>
    <row r="8" spans="1:9" x14ac:dyDescent="0.25">
      <c r="A8" s="19"/>
      <c r="B8" s="118" t="s">
        <v>98</v>
      </c>
      <c r="C8" s="13"/>
      <c r="D8" s="123">
        <v>19080000</v>
      </c>
      <c r="E8" s="19"/>
      <c r="F8" s="19"/>
      <c r="G8" s="19"/>
      <c r="H8" s="19"/>
      <c r="I8" s="19"/>
    </row>
    <row r="9" spans="1:9" x14ac:dyDescent="0.25">
      <c r="A9" s="19"/>
      <c r="B9" s="87" t="s">
        <v>97</v>
      </c>
      <c r="C9" s="66"/>
      <c r="D9" s="124">
        <f>IFERROR($D$5/D7,0)</f>
        <v>3.0000030000029998</v>
      </c>
      <c r="E9" s="19"/>
      <c r="F9" s="19"/>
      <c r="G9" s="19"/>
      <c r="H9" s="19"/>
      <c r="I9" s="19"/>
    </row>
    <row r="10" spans="1:9" x14ac:dyDescent="0.25">
      <c r="A10" s="19"/>
      <c r="B10" s="87" t="s">
        <v>96</v>
      </c>
      <c r="C10" s="66"/>
      <c r="D10" s="124">
        <f>D$6/D$8</f>
        <v>7.8616352201257858</v>
      </c>
      <c r="E10" s="19"/>
      <c r="F10" s="19"/>
      <c r="G10" s="19"/>
      <c r="H10" s="19"/>
      <c r="I10" s="19"/>
    </row>
    <row r="11" spans="1:9" x14ac:dyDescent="0.25">
      <c r="A11" s="19"/>
      <c r="B11" s="87" t="s">
        <v>95</v>
      </c>
      <c r="C11" s="66"/>
      <c r="D11" s="125" t="str">
        <f>IF(AND(D9=0,D10=0),"PLEASE INPUT CREDIT STEP BELOW",IF(OR(AND(D9&lt;5,D10&gt;=9),AND(D9&lt;7, D9&gt;=3, D10 &lt;9, D10&gt;=7),AND(D9 &lt;9, D9&gt;=5, D10&lt;7,D10&gt;=5),AND(D9&gt;=7, D10&lt;5, D10&gt;=3),AND(D9&gt;=9,D10&lt;3)),"S",IF(OR(AND(D9&gt;=7,D9&lt;9, D10&lt;3),AND(D9&lt;5, D9&gt;=1, D10&lt;7, D10&gt;=5),AND(D9&lt;7, D9&gt;=3, D10&lt;5, D10&gt;=3),AND(D9&lt;9, D9&gt;=5, D10&lt;3, D10&gt;=1),AND(D9&lt;=1, D10&lt;9, D10&gt;=7)),"MS",IF(OR(AND(D9&gt;=5, D10&gt;=9),AND(D9&gt;=7, D10&lt;9, D10&gt;=7),AND(D9&gt;=9, D10&lt;7, D10&gt;=5)),"VS",IF(OR(AND(D9&lt;1, D10&lt;3),AND(D9&lt;3, D10&lt;1)),"VW",IF(OR(AND(D9&lt;1, D10&lt;5, D10&gt;=3),AND(D9&lt;3, D9&gt;=1,D10&lt;3,D10&gt;=1),AND(D9&lt;5, D9&gt;=3, D10&lt;1)),"W",IF(OR(AND(D9&lt;1, D10&lt;7, D10&gt;=5),AND(D9&lt;3, D9&gt;=1, D10&lt;5,D10&gt;=3),AND(D9&lt;5, D9&gt;=3,D10&lt;3,D10&gt;=1),AND(D9&lt;7, D9&gt;=5, D10&lt;1)),"M")))))))</f>
        <v>S</v>
      </c>
      <c r="E11" s="19"/>
      <c r="F11" s="19"/>
      <c r="G11" s="19"/>
      <c r="H11" s="19"/>
      <c r="I11" s="19"/>
    </row>
    <row r="12" spans="1:9" x14ac:dyDescent="0.25">
      <c r="A12" s="19"/>
      <c r="B12" s="118" t="s">
        <v>94</v>
      </c>
      <c r="C12" s="119"/>
      <c r="D12" s="123" t="s">
        <v>92</v>
      </c>
      <c r="E12" s="19"/>
      <c r="F12" s="19"/>
      <c r="G12" s="19"/>
      <c r="H12" s="19"/>
      <c r="I12" s="19"/>
    </row>
    <row r="13" spans="1:9" x14ac:dyDescent="0.25">
      <c r="A13" s="19"/>
      <c r="B13" s="118" t="s">
        <v>93</v>
      </c>
      <c r="C13" s="117" t="s">
        <v>92</v>
      </c>
      <c r="D13" s="126" t="str">
        <f>IF(OR((C13="AAA"),(C13="AA")),"VS",IF(C13="A","S",IF(C13="BBB","MS",IF(C13="BB","M",IF(C13="B","W",IF(C13="CCC","VW", "-"))))))</f>
        <v>-</v>
      </c>
      <c r="E13" s="19"/>
      <c r="F13" s="19"/>
      <c r="G13" s="19"/>
      <c r="H13" s="19"/>
      <c r="I13" s="19"/>
    </row>
    <row r="14" spans="1:9" x14ac:dyDescent="0.25">
      <c r="A14" s="19"/>
      <c r="B14" s="116" t="s">
        <v>91</v>
      </c>
      <c r="C14" s="115"/>
      <c r="D14" s="132" t="str">
        <f>IF(AND($D$12&lt;&gt;"-",$D$12&lt;&gt;""),$D$12,IF(AND($D$13&lt;&gt;"-",$D$13&lt;&gt;""),$D$13,IF(AND($D$11&lt;&gt;"PLEASE INPUT CREDIT STEP BELOW",$D$11&lt;&gt;"",$D$11&lt;&gt;"-"),$D$11,"PLEASE FILL IN CELL E10 OR CELL D11")))</f>
        <v>S</v>
      </c>
      <c r="E14" s="19"/>
      <c r="F14" s="19"/>
      <c r="G14" s="19"/>
      <c r="H14" s="19"/>
      <c r="I14" s="19"/>
    </row>
    <row r="15" spans="1:9" x14ac:dyDescent="0.25">
      <c r="A15" s="19"/>
      <c r="B15" s="100"/>
      <c r="C15" s="100"/>
      <c r="D15" s="100"/>
      <c r="E15" s="19"/>
      <c r="F15" s="19"/>
      <c r="G15" s="19"/>
      <c r="H15" s="19"/>
      <c r="I15" s="19"/>
    </row>
    <row r="16" spans="1:9" x14ac:dyDescent="0.25">
      <c r="A16" s="19"/>
      <c r="B16" s="177" t="s">
        <v>90</v>
      </c>
      <c r="C16" s="181"/>
      <c r="D16" s="181"/>
      <c r="E16" s="19"/>
      <c r="F16" s="19"/>
      <c r="G16" s="19"/>
      <c r="H16" s="19"/>
      <c r="I16" s="19"/>
    </row>
    <row r="17" spans="1:9" x14ac:dyDescent="0.25">
      <c r="A17" s="19"/>
      <c r="B17" s="139" t="s">
        <v>89</v>
      </c>
      <c r="C17" s="133"/>
      <c r="D17" s="134">
        <f>IF($D$14="VS",3,IF($D$14="S",3,IF($D$14="MS",5,IF($D$14="M",10,IF($D$14="W",20,IF($D$14="VW",30))))))</f>
        <v>3</v>
      </c>
      <c r="E17" s="19"/>
      <c r="H17" s="114"/>
      <c r="I17" s="19"/>
    </row>
    <row r="18" spans="1:9" x14ac:dyDescent="0.25">
      <c r="A18" s="19"/>
      <c r="B18" s="100"/>
      <c r="C18" s="100"/>
      <c r="D18" s="100"/>
      <c r="E18" s="19"/>
    </row>
    <row r="19" spans="1:9" x14ac:dyDescent="0.25">
      <c r="A19" s="19"/>
      <c r="B19" s="177" t="s">
        <v>88</v>
      </c>
      <c r="C19" s="181"/>
      <c r="D19" s="181"/>
      <c r="E19" s="19"/>
    </row>
    <row r="20" spans="1:9" ht="15" customHeight="1" x14ac:dyDescent="0.25">
      <c r="A20" s="19"/>
      <c r="B20" s="113" t="s">
        <v>87</v>
      </c>
      <c r="C20" s="47"/>
      <c r="D20" s="127">
        <f>2.5%</f>
        <v>2.5000000000000001E-2</v>
      </c>
      <c r="E20" s="19"/>
    </row>
    <row r="21" spans="1:9" x14ac:dyDescent="0.25">
      <c r="A21" s="19"/>
      <c r="B21" s="109" t="s">
        <v>86</v>
      </c>
      <c r="C21" s="112"/>
      <c r="D21" s="128">
        <f>(1-((1+$D$20)^-$D$17))/$D$20</f>
        <v>2.8560235632100461</v>
      </c>
      <c r="E21" s="19"/>
    </row>
    <row r="22" spans="1:9" x14ac:dyDescent="0.25">
      <c r="A22" s="19"/>
      <c r="B22" s="111" t="s">
        <v>85</v>
      </c>
      <c r="C22" s="110"/>
      <c r="D22" s="129">
        <f>$D$8/$D$21</f>
        <v>6680617.1509855855</v>
      </c>
      <c r="E22" s="19"/>
    </row>
    <row r="23" spans="1:9" x14ac:dyDescent="0.25">
      <c r="A23" s="19"/>
      <c r="B23" s="100"/>
      <c r="C23" s="100"/>
      <c r="D23" s="100"/>
      <c r="E23" s="19"/>
    </row>
    <row r="24" spans="1:9" ht="15.75" customHeight="1" x14ac:dyDescent="0.3">
      <c r="A24" s="19"/>
      <c r="B24" s="177" t="s">
        <v>104</v>
      </c>
      <c r="C24" s="181"/>
      <c r="D24" s="181"/>
      <c r="E24" s="19"/>
      <c r="I24" s="107"/>
    </row>
    <row r="25" spans="1:9" ht="15" customHeight="1" x14ac:dyDescent="0.3">
      <c r="A25" s="19"/>
      <c r="B25" s="109" t="s">
        <v>84</v>
      </c>
      <c r="C25" s="108"/>
      <c r="D25" s="130">
        <f>IF($D$14="VS",0.001,IF($D$14="S",0.002,IF($D$14="MS",0.005,IF($D$14="M",0.016,IF($D$14="W",0.045,IF($D$14="VW",0.268))))))</f>
        <v>2E-3</v>
      </c>
      <c r="E25" s="19"/>
      <c r="I25" s="107"/>
    </row>
    <row r="26" spans="1:9" ht="13.5" customHeight="1" x14ac:dyDescent="0.3">
      <c r="A26" s="19"/>
      <c r="B26" s="106" t="s">
        <v>83</v>
      </c>
      <c r="C26" s="105"/>
      <c r="D26" s="128">
        <f>1-$D$25</f>
        <v>0.998</v>
      </c>
      <c r="E26" s="19"/>
      <c r="I26" s="107"/>
    </row>
    <row r="27" spans="1:9" x14ac:dyDescent="0.25">
      <c r="A27" s="19"/>
      <c r="B27" s="106" t="s">
        <v>82</v>
      </c>
      <c r="C27" s="105"/>
      <c r="D27" s="128">
        <f>((1+$D$20)/($D$26))-1</f>
        <v>2.7054108216432837E-2</v>
      </c>
      <c r="E27" s="19"/>
    </row>
    <row r="28" spans="1:9" x14ac:dyDescent="0.25">
      <c r="A28" s="19"/>
      <c r="B28" s="102" t="s">
        <v>81</v>
      </c>
      <c r="C28" s="136"/>
      <c r="D28" s="137">
        <f>(1-((1+$D$27)^-$D$17))/$D$27</f>
        <v>2.8447084326692846</v>
      </c>
      <c r="E28" s="19"/>
    </row>
    <row r="29" spans="1:9" x14ac:dyDescent="0.25">
      <c r="A29" s="19"/>
      <c r="B29" s="104"/>
      <c r="C29" s="104"/>
      <c r="D29" s="135"/>
      <c r="E29" s="19"/>
    </row>
    <row r="30" spans="1:9" x14ac:dyDescent="0.25">
      <c r="A30" s="19"/>
      <c r="B30" s="177" t="s">
        <v>1</v>
      </c>
      <c r="C30" s="181"/>
      <c r="D30" s="181"/>
      <c r="E30" s="19"/>
    </row>
    <row r="31" spans="1:9" x14ac:dyDescent="0.25">
      <c r="A31" s="19"/>
      <c r="B31" s="103" t="s">
        <v>66</v>
      </c>
      <c r="C31" s="13"/>
      <c r="D31" s="138">
        <f>$D$22*$D$28</f>
        <v>19004407.944843747</v>
      </c>
      <c r="E31" s="19"/>
    </row>
    <row r="32" spans="1:9" x14ac:dyDescent="0.25">
      <c r="A32" s="19"/>
      <c r="B32" s="102" t="s">
        <v>103</v>
      </c>
      <c r="C32" s="101"/>
      <c r="D32" s="131">
        <f>D31/$D$8</f>
        <v>0.99603815224547942</v>
      </c>
      <c r="E32" s="19"/>
    </row>
    <row r="33" spans="1:5" x14ac:dyDescent="0.25">
      <c r="A33" s="19"/>
      <c r="B33" s="19"/>
      <c r="C33" s="19"/>
      <c r="D33" s="19"/>
      <c r="E33" s="19"/>
    </row>
    <row r="34" spans="1:5" x14ac:dyDescent="0.25">
      <c r="A34" s="19"/>
      <c r="B34" s="19"/>
      <c r="C34" s="19"/>
      <c r="D34" s="19"/>
      <c r="E34" s="19"/>
    </row>
    <row r="35" spans="1:5" x14ac:dyDescent="0.25">
      <c r="A35" s="19"/>
      <c r="B35" s="19"/>
      <c r="C35" s="19"/>
      <c r="D35" s="19"/>
      <c r="E35" s="19"/>
    </row>
    <row r="36" spans="1:5" x14ac:dyDescent="0.25">
      <c r="A36" s="19"/>
      <c r="B36" s="19"/>
      <c r="C36" s="19"/>
      <c r="D36" s="19"/>
      <c r="E36" s="19"/>
    </row>
    <row r="37" spans="1:5" x14ac:dyDescent="0.25">
      <c r="A37" s="19"/>
      <c r="B37" s="19"/>
      <c r="C37" s="19"/>
      <c r="D37" s="19"/>
      <c r="E37" s="19"/>
    </row>
    <row r="38" spans="1:5" x14ac:dyDescent="0.25">
      <c r="B38" s="19"/>
      <c r="C38" s="19"/>
      <c r="D38" s="19"/>
      <c r="E38" s="19"/>
    </row>
  </sheetData>
  <mergeCells count="5">
    <mergeCell ref="B30:D30"/>
    <mergeCell ref="B24:D24"/>
    <mergeCell ref="B4:D4"/>
    <mergeCell ref="B16:D16"/>
    <mergeCell ref="B19:D19"/>
  </mergeCells>
  <dataValidations count="2">
    <dataValidation type="list" allowBlank="1" showInputMessage="1" showErrorMessage="1" promptTitle="Ratings" prompt="If the S&amp;P (or equivalent) rating is known, enter it here" sqref="C13">
      <formula1>ratings</formula1>
    </dataValidation>
    <dataValidation type="list" allowBlank="1" showInputMessage="1" showErrorMessage="1" promptTitle="Credit strength" prompt="Input credit strength if already known" sqref="D12">
      <formula1>steps</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workbookViewId="0">
      <selection activeCell="A2" sqref="A2"/>
    </sheetView>
  </sheetViews>
  <sheetFormatPr defaultColWidth="9.140625" defaultRowHeight="15" x14ac:dyDescent="0.25"/>
  <cols>
    <col min="2" max="2" width="97.42578125" customWidth="1"/>
    <col min="3" max="3" width="10.7109375" customWidth="1"/>
    <col min="4" max="4" width="3.7109375" customWidth="1"/>
    <col min="6" max="17" width="9.140625" hidden="1" customWidth="1"/>
    <col min="18" max="19" width="9.140625" customWidth="1"/>
  </cols>
  <sheetData>
    <row r="1" spans="1:19" x14ac:dyDescent="0.25">
      <c r="A1" s="145" t="s">
        <v>114</v>
      </c>
      <c r="D1" s="6" t="s">
        <v>6</v>
      </c>
    </row>
    <row r="2" spans="1:19" ht="15" customHeight="1" x14ac:dyDescent="0.25">
      <c r="A2" s="144" t="s">
        <v>124</v>
      </c>
      <c r="D2" s="6" t="s">
        <v>6</v>
      </c>
    </row>
    <row r="3" spans="1:19" x14ac:dyDescent="0.25">
      <c r="D3" s="6" t="s">
        <v>6</v>
      </c>
    </row>
    <row r="4" spans="1:19" x14ac:dyDescent="0.25">
      <c r="B4" s="5" t="s">
        <v>0</v>
      </c>
      <c r="C4" s="4"/>
      <c r="D4" s="6" t="s">
        <v>6</v>
      </c>
      <c r="G4" s="141">
        <f>C10</f>
        <v>0.9</v>
      </c>
      <c r="M4" s="85">
        <v>1</v>
      </c>
    </row>
    <row r="5" spans="1:19" x14ac:dyDescent="0.25">
      <c r="A5" s="2" t="s">
        <v>75</v>
      </c>
      <c r="B5" s="74" t="s">
        <v>74</v>
      </c>
      <c r="C5" s="8">
        <v>60</v>
      </c>
      <c r="D5" s="6" t="s">
        <v>6</v>
      </c>
      <c r="F5">
        <v>1</v>
      </c>
      <c r="G5">
        <f t="shared" ref="G5:G36" si="0">H5*I5</f>
        <v>0.36</v>
      </c>
      <c r="H5">
        <f t="shared" ref="H5:H36" si="1">((1-$C$8)^(F5-1))*$C$8</f>
        <v>0.02</v>
      </c>
      <c r="I5" s="80">
        <f t="shared" ref="I5:I36" si="2">MAX(J5,K5)</f>
        <v>18</v>
      </c>
      <c r="J5" s="80">
        <f t="shared" ref="J5:J36" si="3">$C$10*$C$6-($C$5+((F5-1)/$C$7)*($C$6-$C$5)+$C$9*($C$6-$C$5)*(1-(F5-1)/$C$7))</f>
        <v>18</v>
      </c>
      <c r="K5">
        <v>0</v>
      </c>
      <c r="L5">
        <v>1</v>
      </c>
      <c r="M5">
        <f t="shared" ref="M5:M36" si="4">N5*O5</f>
        <v>0.56000000000000005</v>
      </c>
      <c r="N5">
        <f t="shared" ref="N5:N36" si="5">((1-$C$8)^(L5-1))*$C$8</f>
        <v>0.02</v>
      </c>
      <c r="O5" s="80">
        <f t="shared" ref="O5:O36" si="6">MAX(P5,Q5)</f>
        <v>28</v>
      </c>
      <c r="P5" s="80">
        <f t="shared" ref="P5:P36" si="7">$M$4*$C$6-($C$5+((L5-1)/$C$7)*($C$6-$C$5)+$C$9*($C$6-$C$5)*(1-(L5-1)/$C$7))</f>
        <v>28</v>
      </c>
      <c r="Q5">
        <v>0</v>
      </c>
    </row>
    <row r="6" spans="1:19" x14ac:dyDescent="0.25">
      <c r="A6" s="2" t="s">
        <v>73</v>
      </c>
      <c r="B6" s="74" t="s">
        <v>72</v>
      </c>
      <c r="C6" s="9">
        <v>100</v>
      </c>
      <c r="D6" s="6" t="s">
        <v>6</v>
      </c>
      <c r="E6" s="80"/>
      <c r="F6">
        <f t="shared" ref="F6:F37" si="8">F5+1</f>
        <v>2</v>
      </c>
      <c r="G6">
        <f t="shared" si="0"/>
        <v>0.29792000000000007</v>
      </c>
      <c r="H6">
        <f t="shared" si="1"/>
        <v>1.9599999999999999E-2</v>
      </c>
      <c r="I6" s="80">
        <f t="shared" si="2"/>
        <v>15.200000000000003</v>
      </c>
      <c r="J6" s="80">
        <f t="shared" si="3"/>
        <v>15.200000000000003</v>
      </c>
      <c r="K6">
        <v>0</v>
      </c>
      <c r="L6" s="43">
        <f t="shared" ref="L6:L37" si="9">L5+1</f>
        <v>2</v>
      </c>
      <c r="M6">
        <f t="shared" si="4"/>
        <v>0.49392000000000003</v>
      </c>
      <c r="N6">
        <f t="shared" si="5"/>
        <v>1.9599999999999999E-2</v>
      </c>
      <c r="O6" s="80">
        <f t="shared" si="6"/>
        <v>25.200000000000003</v>
      </c>
      <c r="P6" s="80">
        <f t="shared" si="7"/>
        <v>25.200000000000003</v>
      </c>
      <c r="Q6">
        <v>0</v>
      </c>
      <c r="R6" s="80"/>
      <c r="S6" s="80"/>
    </row>
    <row r="7" spans="1:19" x14ac:dyDescent="0.25">
      <c r="A7" s="2" t="s">
        <v>3</v>
      </c>
      <c r="B7" s="74" t="s">
        <v>2</v>
      </c>
      <c r="C7" s="9">
        <v>10</v>
      </c>
      <c r="D7" s="6" t="s">
        <v>6</v>
      </c>
      <c r="E7" s="80"/>
      <c r="F7">
        <f t="shared" si="8"/>
        <v>3</v>
      </c>
      <c r="G7">
        <f t="shared" si="0"/>
        <v>0.23817920000000009</v>
      </c>
      <c r="H7">
        <f t="shared" si="1"/>
        <v>1.9207999999999999E-2</v>
      </c>
      <c r="I7" s="80">
        <f t="shared" si="2"/>
        <v>12.400000000000006</v>
      </c>
      <c r="J7" s="80">
        <f t="shared" si="3"/>
        <v>12.400000000000006</v>
      </c>
      <c r="K7">
        <v>0</v>
      </c>
      <c r="L7" s="43">
        <f t="shared" si="9"/>
        <v>3</v>
      </c>
      <c r="M7">
        <f t="shared" si="4"/>
        <v>0.43025920000000012</v>
      </c>
      <c r="N7">
        <f t="shared" si="5"/>
        <v>1.9207999999999999E-2</v>
      </c>
      <c r="O7" s="80">
        <f t="shared" si="6"/>
        <v>22.400000000000006</v>
      </c>
      <c r="P7" s="80">
        <f t="shared" si="7"/>
        <v>22.400000000000006</v>
      </c>
      <c r="Q7">
        <v>0</v>
      </c>
      <c r="R7" s="80"/>
      <c r="S7" s="80"/>
    </row>
    <row r="8" spans="1:19" ht="18" x14ac:dyDescent="0.35">
      <c r="A8" s="2" t="s">
        <v>4</v>
      </c>
      <c r="B8" s="74" t="s">
        <v>5</v>
      </c>
      <c r="C8" s="10">
        <v>0.02</v>
      </c>
      <c r="D8" s="6" t="s">
        <v>6</v>
      </c>
      <c r="F8">
        <f t="shared" si="8"/>
        <v>4</v>
      </c>
      <c r="G8">
        <f t="shared" si="0"/>
        <v>0.18070886399999989</v>
      </c>
      <c r="H8">
        <f t="shared" si="1"/>
        <v>1.8823839999999998E-2</v>
      </c>
      <c r="I8" s="80">
        <f t="shared" si="2"/>
        <v>9.5999999999999943</v>
      </c>
      <c r="J8" s="80">
        <f t="shared" si="3"/>
        <v>9.5999999999999943</v>
      </c>
      <c r="K8">
        <v>0</v>
      </c>
      <c r="L8" s="43">
        <f t="shared" si="9"/>
        <v>4</v>
      </c>
      <c r="M8">
        <f t="shared" si="4"/>
        <v>0.36894726399999983</v>
      </c>
      <c r="N8">
        <f t="shared" si="5"/>
        <v>1.8823839999999998E-2</v>
      </c>
      <c r="O8" s="80">
        <f t="shared" si="6"/>
        <v>19.599999999999994</v>
      </c>
      <c r="P8" s="80">
        <f t="shared" si="7"/>
        <v>19.599999999999994</v>
      </c>
      <c r="Q8">
        <v>0</v>
      </c>
    </row>
    <row r="9" spans="1:19" x14ac:dyDescent="0.25">
      <c r="A9" s="2" t="s">
        <v>69</v>
      </c>
      <c r="B9" s="74" t="s">
        <v>68</v>
      </c>
      <c r="C9" s="28">
        <v>0.3</v>
      </c>
      <c r="D9" s="6" t="s">
        <v>6</v>
      </c>
      <c r="F9">
        <f t="shared" si="8"/>
        <v>5</v>
      </c>
      <c r="G9">
        <f t="shared" si="0"/>
        <v>0.12544206975999994</v>
      </c>
      <c r="H9">
        <f t="shared" si="1"/>
        <v>1.8447363199999997E-2</v>
      </c>
      <c r="I9" s="80">
        <f t="shared" si="2"/>
        <v>6.7999999999999972</v>
      </c>
      <c r="J9" s="80">
        <f t="shared" si="3"/>
        <v>6.7999999999999972</v>
      </c>
      <c r="K9">
        <v>0</v>
      </c>
      <c r="L9" s="43">
        <f t="shared" si="9"/>
        <v>5</v>
      </c>
      <c r="M9">
        <f t="shared" si="4"/>
        <v>0.30991570175999988</v>
      </c>
      <c r="N9">
        <f t="shared" si="5"/>
        <v>1.8447363199999997E-2</v>
      </c>
      <c r="O9" s="80">
        <f t="shared" si="6"/>
        <v>16.799999999999997</v>
      </c>
      <c r="P9" s="80">
        <f t="shared" si="7"/>
        <v>16.799999999999997</v>
      </c>
      <c r="Q9">
        <v>0</v>
      </c>
      <c r="R9" s="83"/>
      <c r="S9" s="83"/>
    </row>
    <row r="10" spans="1:19" x14ac:dyDescent="0.25">
      <c r="A10" s="2" t="s">
        <v>109</v>
      </c>
      <c r="B10" s="74" t="s">
        <v>108</v>
      </c>
      <c r="C10" s="28">
        <v>0.9</v>
      </c>
      <c r="D10" s="6" t="s">
        <v>6</v>
      </c>
      <c r="E10" s="80"/>
      <c r="F10">
        <f t="shared" si="8"/>
        <v>6</v>
      </c>
      <c r="G10">
        <f t="shared" si="0"/>
        <v>7.2313663743999987E-2</v>
      </c>
      <c r="H10">
        <f t="shared" si="1"/>
        <v>1.8078415935999997E-2</v>
      </c>
      <c r="I10" s="80">
        <f t="shared" si="2"/>
        <v>4</v>
      </c>
      <c r="J10" s="80">
        <f t="shared" si="3"/>
        <v>4</v>
      </c>
      <c r="K10">
        <v>0</v>
      </c>
      <c r="L10" s="43">
        <f t="shared" si="9"/>
        <v>6</v>
      </c>
      <c r="M10">
        <f t="shared" si="4"/>
        <v>0.25309782310399997</v>
      </c>
      <c r="N10">
        <f t="shared" si="5"/>
        <v>1.8078415935999997E-2</v>
      </c>
      <c r="O10" s="80">
        <f t="shared" si="6"/>
        <v>14</v>
      </c>
      <c r="P10" s="80">
        <f t="shared" si="7"/>
        <v>14</v>
      </c>
      <c r="Q10">
        <v>0</v>
      </c>
      <c r="R10" s="80"/>
      <c r="S10" s="80"/>
    </row>
    <row r="11" spans="1:19" x14ac:dyDescent="0.25">
      <c r="B11" s="3" t="s">
        <v>107</v>
      </c>
      <c r="C11" s="22">
        <v>10</v>
      </c>
      <c r="D11" s="6" t="s">
        <v>6</v>
      </c>
      <c r="E11" s="80"/>
      <c r="F11">
        <f t="shared" si="8"/>
        <v>7</v>
      </c>
      <c r="G11">
        <f t="shared" si="0"/>
        <v>2.1260217140736046E-2</v>
      </c>
      <c r="H11">
        <f t="shared" si="1"/>
        <v>1.7716847617279995E-2</v>
      </c>
      <c r="I11" s="80">
        <f t="shared" si="2"/>
        <v>1.2000000000000028</v>
      </c>
      <c r="J11" s="80">
        <f t="shared" si="3"/>
        <v>1.2000000000000028</v>
      </c>
      <c r="K11">
        <v>0</v>
      </c>
      <c r="L11" s="43">
        <f t="shared" si="9"/>
        <v>7</v>
      </c>
      <c r="M11">
        <f t="shared" si="4"/>
        <v>0.19842869331353599</v>
      </c>
      <c r="N11">
        <f t="shared" si="5"/>
        <v>1.7716847617279995E-2</v>
      </c>
      <c r="O11" s="80">
        <f t="shared" si="6"/>
        <v>11.200000000000003</v>
      </c>
      <c r="P11" s="80">
        <f t="shared" si="7"/>
        <v>11.200000000000003</v>
      </c>
      <c r="Q11">
        <v>0</v>
      </c>
      <c r="R11" s="80"/>
      <c r="S11" s="80"/>
    </row>
    <row r="12" spans="1:19" x14ac:dyDescent="0.25">
      <c r="B12" s="44"/>
      <c r="C12" s="44"/>
      <c r="D12" s="6" t="s">
        <v>6</v>
      </c>
      <c r="E12" s="79"/>
      <c r="F12">
        <f t="shared" si="8"/>
        <v>8</v>
      </c>
      <c r="G12">
        <f t="shared" si="0"/>
        <v>0</v>
      </c>
      <c r="H12">
        <f t="shared" si="1"/>
        <v>1.7362510664934397E-2</v>
      </c>
      <c r="I12" s="80">
        <f t="shared" si="2"/>
        <v>0</v>
      </c>
      <c r="J12" s="80">
        <f t="shared" si="3"/>
        <v>-1.5999999999999943</v>
      </c>
      <c r="K12">
        <v>0</v>
      </c>
      <c r="L12" s="43">
        <f t="shared" si="9"/>
        <v>8</v>
      </c>
      <c r="M12">
        <f t="shared" si="4"/>
        <v>0.14584508958544903</v>
      </c>
      <c r="N12">
        <f t="shared" si="5"/>
        <v>1.7362510664934397E-2</v>
      </c>
      <c r="O12" s="80">
        <f t="shared" si="6"/>
        <v>8.4000000000000057</v>
      </c>
      <c r="P12" s="80">
        <f t="shared" si="7"/>
        <v>8.4000000000000057</v>
      </c>
      <c r="Q12">
        <v>0</v>
      </c>
      <c r="R12" s="79"/>
      <c r="S12" s="79"/>
    </row>
    <row r="13" spans="1:19" x14ac:dyDescent="0.25">
      <c r="D13" s="6" t="s">
        <v>6</v>
      </c>
      <c r="F13">
        <f t="shared" si="8"/>
        <v>9</v>
      </c>
      <c r="G13">
        <f t="shared" si="0"/>
        <v>0</v>
      </c>
      <c r="H13">
        <f t="shared" si="1"/>
        <v>1.7015260451635709E-2</v>
      </c>
      <c r="I13" s="80">
        <f t="shared" si="2"/>
        <v>0</v>
      </c>
      <c r="J13" s="80">
        <f t="shared" si="3"/>
        <v>-4.4000000000000057</v>
      </c>
      <c r="K13">
        <v>0</v>
      </c>
      <c r="L13" s="43">
        <f t="shared" si="9"/>
        <v>9</v>
      </c>
      <c r="M13">
        <f t="shared" si="4"/>
        <v>9.5285458529159872E-2</v>
      </c>
      <c r="N13">
        <f t="shared" si="5"/>
        <v>1.7015260451635709E-2</v>
      </c>
      <c r="O13" s="80">
        <f t="shared" si="6"/>
        <v>5.5999999999999943</v>
      </c>
      <c r="P13" s="80">
        <f t="shared" si="7"/>
        <v>5.5999999999999943</v>
      </c>
      <c r="Q13">
        <v>0</v>
      </c>
    </row>
    <row r="14" spans="1:19" x14ac:dyDescent="0.25">
      <c r="B14" s="67" t="s">
        <v>1</v>
      </c>
      <c r="C14" s="140"/>
      <c r="D14" s="6" t="s">
        <v>6</v>
      </c>
      <c r="F14">
        <f t="shared" si="8"/>
        <v>10</v>
      </c>
      <c r="G14">
        <f t="shared" si="0"/>
        <v>0</v>
      </c>
      <c r="H14">
        <f t="shared" si="1"/>
        <v>1.6674955242602995E-2</v>
      </c>
      <c r="I14" s="80">
        <f t="shared" si="2"/>
        <v>0</v>
      </c>
      <c r="J14" s="80">
        <f t="shared" si="3"/>
        <v>-7.2000000000000028</v>
      </c>
      <c r="K14">
        <v>0</v>
      </c>
      <c r="L14" s="43">
        <f t="shared" si="9"/>
        <v>10</v>
      </c>
      <c r="M14">
        <f t="shared" si="4"/>
        <v>4.668987467928834E-2</v>
      </c>
      <c r="N14">
        <f t="shared" si="5"/>
        <v>1.6674955242602995E-2</v>
      </c>
      <c r="O14" s="80">
        <f t="shared" si="6"/>
        <v>2.7999999999999972</v>
      </c>
      <c r="P14" s="80">
        <f t="shared" si="7"/>
        <v>2.7999999999999972</v>
      </c>
      <c r="Q14">
        <v>0</v>
      </c>
    </row>
    <row r="15" spans="1:19" ht="18" x14ac:dyDescent="0.35">
      <c r="A15" s="2" t="s">
        <v>106</v>
      </c>
      <c r="B15" s="1" t="s">
        <v>110</v>
      </c>
      <c r="C15" s="152">
        <f>SUM(G5:INDEX(G5:G64,C7))+C10*C11</f>
        <v>10.295824014644737</v>
      </c>
      <c r="D15" s="6" t="s">
        <v>6</v>
      </c>
      <c r="F15">
        <f t="shared" si="8"/>
        <v>11</v>
      </c>
      <c r="G15">
        <f t="shared" si="0"/>
        <v>0</v>
      </c>
      <c r="H15">
        <f t="shared" si="1"/>
        <v>1.6341456137750933E-2</v>
      </c>
      <c r="I15" s="80">
        <f t="shared" si="2"/>
        <v>0</v>
      </c>
      <c r="J15" s="80">
        <f t="shared" si="3"/>
        <v>-10</v>
      </c>
      <c r="K15">
        <v>0</v>
      </c>
      <c r="L15" s="43">
        <f t="shared" si="9"/>
        <v>11</v>
      </c>
      <c r="M15">
        <f t="shared" si="4"/>
        <v>0</v>
      </c>
      <c r="N15">
        <f t="shared" si="5"/>
        <v>1.6341456137750933E-2</v>
      </c>
      <c r="O15" s="80">
        <f t="shared" si="6"/>
        <v>0</v>
      </c>
      <c r="P15" s="80">
        <f t="shared" si="7"/>
        <v>0</v>
      </c>
      <c r="Q15">
        <v>0</v>
      </c>
    </row>
    <row r="16" spans="1:19" x14ac:dyDescent="0.25">
      <c r="B16" s="76"/>
      <c r="C16" s="75"/>
      <c r="D16" s="6" t="s">
        <v>6</v>
      </c>
      <c r="F16">
        <f t="shared" si="8"/>
        <v>12</v>
      </c>
      <c r="G16">
        <f t="shared" si="0"/>
        <v>0</v>
      </c>
      <c r="H16">
        <f t="shared" si="1"/>
        <v>1.6014627014995914E-2</v>
      </c>
      <c r="I16" s="80">
        <f t="shared" si="2"/>
        <v>0</v>
      </c>
      <c r="J16" s="80">
        <f t="shared" si="3"/>
        <v>-12.799999999999997</v>
      </c>
      <c r="K16">
        <v>0</v>
      </c>
      <c r="L16" s="43">
        <f t="shared" si="9"/>
        <v>12</v>
      </c>
      <c r="M16">
        <f t="shared" si="4"/>
        <v>0</v>
      </c>
      <c r="N16">
        <f t="shared" si="5"/>
        <v>1.6014627014995914E-2</v>
      </c>
      <c r="O16" s="80">
        <f t="shared" si="6"/>
        <v>0</v>
      </c>
      <c r="P16" s="80">
        <f t="shared" si="7"/>
        <v>-2.7999999999999972</v>
      </c>
      <c r="Q16">
        <v>0</v>
      </c>
    </row>
    <row r="17" spans="1:17" x14ac:dyDescent="0.25">
      <c r="B17" s="16" t="s">
        <v>111</v>
      </c>
      <c r="C17" s="153">
        <f>SUM(M5:INDEX(M5:M64,C7))+1*C11</f>
        <v>12.902389104971434</v>
      </c>
      <c r="D17" s="6" t="s">
        <v>6</v>
      </c>
      <c r="F17">
        <f t="shared" si="8"/>
        <v>13</v>
      </c>
      <c r="G17">
        <f t="shared" si="0"/>
        <v>0</v>
      </c>
      <c r="H17">
        <f t="shared" si="1"/>
        <v>1.5694334474695995E-2</v>
      </c>
      <c r="I17" s="80">
        <f t="shared" si="2"/>
        <v>0</v>
      </c>
      <c r="J17" s="80">
        <f t="shared" si="3"/>
        <v>-15.599999999999994</v>
      </c>
      <c r="K17">
        <v>0</v>
      </c>
      <c r="L17" s="43">
        <f t="shared" si="9"/>
        <v>13</v>
      </c>
      <c r="M17">
        <f t="shared" si="4"/>
        <v>0</v>
      </c>
      <c r="N17">
        <f t="shared" si="5"/>
        <v>1.5694334474695995E-2</v>
      </c>
      <c r="O17" s="80">
        <f t="shared" si="6"/>
        <v>0</v>
      </c>
      <c r="P17" s="80">
        <f t="shared" si="7"/>
        <v>-5.5999999999999943</v>
      </c>
      <c r="Q17">
        <v>0</v>
      </c>
    </row>
    <row r="18" spans="1:17" x14ac:dyDescent="0.25">
      <c r="B18" s="3" t="s">
        <v>105</v>
      </c>
      <c r="C18" s="12">
        <f>C15-C17</f>
        <v>-2.606565090326697</v>
      </c>
      <c r="D18" s="6" t="s">
        <v>6</v>
      </c>
      <c r="F18">
        <f t="shared" si="8"/>
        <v>14</v>
      </c>
      <c r="G18">
        <f t="shared" si="0"/>
        <v>0</v>
      </c>
      <c r="H18">
        <f t="shared" si="1"/>
        <v>1.5380447785202074E-2</v>
      </c>
      <c r="I18" s="80">
        <f t="shared" si="2"/>
        <v>0</v>
      </c>
      <c r="J18" s="80">
        <f t="shared" si="3"/>
        <v>-18.400000000000006</v>
      </c>
      <c r="K18">
        <v>0</v>
      </c>
      <c r="L18" s="43">
        <f t="shared" si="9"/>
        <v>14</v>
      </c>
      <c r="M18">
        <f t="shared" si="4"/>
        <v>0</v>
      </c>
      <c r="N18">
        <f t="shared" si="5"/>
        <v>1.5380447785202074E-2</v>
      </c>
      <c r="O18" s="80">
        <f t="shared" si="6"/>
        <v>0</v>
      </c>
      <c r="P18" s="80">
        <f t="shared" si="7"/>
        <v>-8.4000000000000057</v>
      </c>
      <c r="Q18">
        <v>0</v>
      </c>
    </row>
    <row r="19" spans="1:17" x14ac:dyDescent="0.25">
      <c r="A19" s="70"/>
      <c r="B19" s="70"/>
      <c r="C19" s="70"/>
      <c r="D19" s="6" t="s">
        <v>6</v>
      </c>
      <c r="F19">
        <f t="shared" si="8"/>
        <v>15</v>
      </c>
      <c r="G19">
        <f t="shared" si="0"/>
        <v>0</v>
      </c>
      <c r="H19">
        <f t="shared" si="1"/>
        <v>1.5072838829498033E-2</v>
      </c>
      <c r="I19" s="80">
        <f t="shared" si="2"/>
        <v>0</v>
      </c>
      <c r="J19" s="80">
        <f t="shared" si="3"/>
        <v>-21.200000000000003</v>
      </c>
      <c r="K19">
        <v>0</v>
      </c>
      <c r="L19" s="43">
        <f t="shared" si="9"/>
        <v>15</v>
      </c>
      <c r="M19">
        <f t="shared" si="4"/>
        <v>0</v>
      </c>
      <c r="N19">
        <f t="shared" si="5"/>
        <v>1.5072838829498033E-2</v>
      </c>
      <c r="O19" s="80">
        <f t="shared" si="6"/>
        <v>0</v>
      </c>
      <c r="P19" s="80">
        <f t="shared" si="7"/>
        <v>-11.200000000000003</v>
      </c>
      <c r="Q19">
        <v>0</v>
      </c>
    </row>
    <row r="20" spans="1:17" x14ac:dyDescent="0.25">
      <c r="D20" s="6" t="s">
        <v>6</v>
      </c>
      <c r="F20">
        <f t="shared" si="8"/>
        <v>16</v>
      </c>
      <c r="G20">
        <f t="shared" si="0"/>
        <v>0</v>
      </c>
      <c r="H20">
        <f t="shared" si="1"/>
        <v>1.4771382052908072E-2</v>
      </c>
      <c r="I20" s="80">
        <f t="shared" si="2"/>
        <v>0</v>
      </c>
      <c r="J20" s="80">
        <f t="shared" si="3"/>
        <v>-24</v>
      </c>
      <c r="K20">
        <v>0</v>
      </c>
      <c r="L20" s="43">
        <f t="shared" si="9"/>
        <v>16</v>
      </c>
      <c r="M20">
        <f t="shared" si="4"/>
        <v>0</v>
      </c>
      <c r="N20">
        <f t="shared" si="5"/>
        <v>1.4771382052908072E-2</v>
      </c>
      <c r="O20" s="80">
        <f t="shared" si="6"/>
        <v>0</v>
      </c>
      <c r="P20" s="80">
        <f t="shared" si="7"/>
        <v>-14</v>
      </c>
      <c r="Q20">
        <v>0</v>
      </c>
    </row>
    <row r="21" spans="1:17" x14ac:dyDescent="0.25">
      <c r="B21" s="5" t="s">
        <v>18</v>
      </c>
      <c r="C21" s="4"/>
      <c r="D21" s="6" t="s">
        <v>6</v>
      </c>
      <c r="F21">
        <f t="shared" si="8"/>
        <v>17</v>
      </c>
      <c r="G21">
        <f t="shared" si="0"/>
        <v>0</v>
      </c>
      <c r="H21">
        <f t="shared" si="1"/>
        <v>1.4475954411849909E-2</v>
      </c>
      <c r="I21" s="80">
        <f t="shared" si="2"/>
        <v>0</v>
      </c>
      <c r="J21" s="80">
        <f t="shared" si="3"/>
        <v>-26.799999999999997</v>
      </c>
      <c r="K21">
        <v>0</v>
      </c>
      <c r="L21" s="43">
        <f t="shared" si="9"/>
        <v>17</v>
      </c>
      <c r="M21">
        <f t="shared" si="4"/>
        <v>0</v>
      </c>
      <c r="N21">
        <f t="shared" si="5"/>
        <v>1.4475954411849909E-2</v>
      </c>
      <c r="O21" s="80">
        <f t="shared" si="6"/>
        <v>0</v>
      </c>
      <c r="P21" s="80">
        <f t="shared" si="7"/>
        <v>-16.799999999999997</v>
      </c>
      <c r="Q21">
        <v>0</v>
      </c>
    </row>
    <row r="22" spans="1:17" x14ac:dyDescent="0.25">
      <c r="B22" s="193" t="s">
        <v>120</v>
      </c>
      <c r="C22" s="194"/>
      <c r="D22" s="6" t="s">
        <v>6</v>
      </c>
      <c r="F22">
        <f t="shared" si="8"/>
        <v>18</v>
      </c>
      <c r="G22">
        <f t="shared" si="0"/>
        <v>0</v>
      </c>
      <c r="H22">
        <f t="shared" si="1"/>
        <v>1.4186435323612911E-2</v>
      </c>
      <c r="I22" s="80">
        <f t="shared" si="2"/>
        <v>0</v>
      </c>
      <c r="J22" s="80">
        <f t="shared" si="3"/>
        <v>-29.599999999999994</v>
      </c>
      <c r="K22">
        <v>0</v>
      </c>
      <c r="L22" s="43">
        <f t="shared" si="9"/>
        <v>18</v>
      </c>
      <c r="M22">
        <f t="shared" si="4"/>
        <v>0</v>
      </c>
      <c r="N22">
        <f t="shared" si="5"/>
        <v>1.4186435323612911E-2</v>
      </c>
      <c r="O22" s="80">
        <f t="shared" si="6"/>
        <v>0</v>
      </c>
      <c r="P22" s="80">
        <f t="shared" si="7"/>
        <v>-19.599999999999994</v>
      </c>
      <c r="Q22">
        <v>0</v>
      </c>
    </row>
    <row r="23" spans="1:17" x14ac:dyDescent="0.25">
      <c r="B23" s="195"/>
      <c r="C23" s="194"/>
      <c r="D23" s="6" t="s">
        <v>6</v>
      </c>
      <c r="F23">
        <f t="shared" si="8"/>
        <v>19</v>
      </c>
      <c r="G23">
        <f t="shared" si="0"/>
        <v>0</v>
      </c>
      <c r="H23">
        <f t="shared" si="1"/>
        <v>1.3902706617140652E-2</v>
      </c>
      <c r="I23" s="80">
        <f t="shared" si="2"/>
        <v>0</v>
      </c>
      <c r="J23" s="80">
        <f t="shared" si="3"/>
        <v>-32.400000000000006</v>
      </c>
      <c r="K23">
        <v>0</v>
      </c>
      <c r="L23" s="43">
        <f t="shared" si="9"/>
        <v>19</v>
      </c>
      <c r="M23">
        <f t="shared" si="4"/>
        <v>0</v>
      </c>
      <c r="N23">
        <f t="shared" si="5"/>
        <v>1.3902706617140652E-2</v>
      </c>
      <c r="O23" s="80">
        <f t="shared" si="6"/>
        <v>0</v>
      </c>
      <c r="P23" s="80">
        <f t="shared" si="7"/>
        <v>-22.400000000000006</v>
      </c>
      <c r="Q23">
        <v>0</v>
      </c>
    </row>
    <row r="24" spans="1:17" x14ac:dyDescent="0.25">
      <c r="B24" s="195"/>
      <c r="C24" s="194"/>
      <c r="D24" s="6" t="s">
        <v>6</v>
      </c>
      <c r="F24">
        <f t="shared" si="8"/>
        <v>20</v>
      </c>
      <c r="G24">
        <f t="shared" si="0"/>
        <v>0</v>
      </c>
      <c r="H24">
        <f t="shared" si="1"/>
        <v>1.362465248479784E-2</v>
      </c>
      <c r="I24" s="80">
        <f t="shared" si="2"/>
        <v>0</v>
      </c>
      <c r="J24" s="80">
        <f t="shared" si="3"/>
        <v>-35.200000000000003</v>
      </c>
      <c r="K24">
        <v>0</v>
      </c>
      <c r="L24" s="43">
        <f t="shared" si="9"/>
        <v>20</v>
      </c>
      <c r="M24">
        <f t="shared" si="4"/>
        <v>0</v>
      </c>
      <c r="N24">
        <f t="shared" si="5"/>
        <v>1.362465248479784E-2</v>
      </c>
      <c r="O24" s="80">
        <f t="shared" si="6"/>
        <v>0</v>
      </c>
      <c r="P24" s="80">
        <f t="shared" si="7"/>
        <v>-25.200000000000003</v>
      </c>
      <c r="Q24">
        <v>0</v>
      </c>
    </row>
    <row r="25" spans="1:17" x14ac:dyDescent="0.25">
      <c r="B25" s="195"/>
      <c r="C25" s="194"/>
      <c r="D25" s="6" t="s">
        <v>6</v>
      </c>
      <c r="F25">
        <f t="shared" si="8"/>
        <v>21</v>
      </c>
      <c r="G25">
        <f t="shared" si="0"/>
        <v>0</v>
      </c>
      <c r="H25">
        <f t="shared" si="1"/>
        <v>1.3352159435101882E-2</v>
      </c>
      <c r="I25" s="80">
        <f t="shared" si="2"/>
        <v>0</v>
      </c>
      <c r="J25" s="80">
        <f t="shared" si="3"/>
        <v>-38</v>
      </c>
      <c r="K25">
        <v>0</v>
      </c>
      <c r="L25" s="43">
        <f t="shared" si="9"/>
        <v>21</v>
      </c>
      <c r="M25">
        <f t="shared" si="4"/>
        <v>0</v>
      </c>
      <c r="N25">
        <f t="shared" si="5"/>
        <v>1.3352159435101882E-2</v>
      </c>
      <c r="O25" s="80">
        <f t="shared" si="6"/>
        <v>0</v>
      </c>
      <c r="P25" s="80">
        <f t="shared" si="7"/>
        <v>-28</v>
      </c>
      <c r="Q25">
        <v>0</v>
      </c>
    </row>
    <row r="26" spans="1:17" x14ac:dyDescent="0.25">
      <c r="B26" s="195"/>
      <c r="C26" s="194"/>
      <c r="D26" s="6" t="s">
        <v>6</v>
      </c>
      <c r="F26">
        <f t="shared" si="8"/>
        <v>22</v>
      </c>
      <c r="G26">
        <f t="shared" si="0"/>
        <v>0</v>
      </c>
      <c r="H26">
        <f t="shared" si="1"/>
        <v>1.3085116246399844E-2</v>
      </c>
      <c r="I26" s="80">
        <f t="shared" si="2"/>
        <v>0</v>
      </c>
      <c r="J26" s="80">
        <f t="shared" si="3"/>
        <v>-40.800000000000011</v>
      </c>
      <c r="K26">
        <v>0</v>
      </c>
      <c r="L26" s="43">
        <f t="shared" si="9"/>
        <v>22</v>
      </c>
      <c r="M26">
        <f t="shared" si="4"/>
        <v>0</v>
      </c>
      <c r="N26">
        <f t="shared" si="5"/>
        <v>1.3085116246399844E-2</v>
      </c>
      <c r="O26" s="80">
        <f t="shared" si="6"/>
        <v>0</v>
      </c>
      <c r="P26" s="80">
        <f t="shared" si="7"/>
        <v>-30.800000000000011</v>
      </c>
      <c r="Q26">
        <v>0</v>
      </c>
    </row>
    <row r="27" spans="1:17" x14ac:dyDescent="0.25">
      <c r="B27" s="195"/>
      <c r="C27" s="194"/>
      <c r="D27" s="6" t="s">
        <v>6</v>
      </c>
      <c r="F27">
        <f t="shared" si="8"/>
        <v>23</v>
      </c>
      <c r="G27">
        <f t="shared" si="0"/>
        <v>0</v>
      </c>
      <c r="H27">
        <f t="shared" si="1"/>
        <v>1.2823413921471847E-2</v>
      </c>
      <c r="I27" s="80">
        <f t="shared" si="2"/>
        <v>0</v>
      </c>
      <c r="J27" s="80">
        <f t="shared" si="3"/>
        <v>-43.599999999999994</v>
      </c>
      <c r="K27">
        <v>0</v>
      </c>
      <c r="L27" s="43">
        <f t="shared" si="9"/>
        <v>23</v>
      </c>
      <c r="M27">
        <f t="shared" si="4"/>
        <v>0</v>
      </c>
      <c r="N27">
        <f t="shared" si="5"/>
        <v>1.2823413921471847E-2</v>
      </c>
      <c r="O27" s="80">
        <f t="shared" si="6"/>
        <v>0</v>
      </c>
      <c r="P27" s="80">
        <f t="shared" si="7"/>
        <v>-33.599999999999994</v>
      </c>
      <c r="Q27">
        <v>0</v>
      </c>
    </row>
    <row r="28" spans="1:17" x14ac:dyDescent="0.25">
      <c r="B28" s="195"/>
      <c r="C28" s="194"/>
      <c r="D28" s="6" t="s">
        <v>6</v>
      </c>
      <c r="F28">
        <f t="shared" si="8"/>
        <v>24</v>
      </c>
      <c r="G28">
        <f t="shared" si="0"/>
        <v>0</v>
      </c>
      <c r="H28">
        <f t="shared" si="1"/>
        <v>1.2566945643042409E-2</v>
      </c>
      <c r="I28" s="80">
        <f t="shared" si="2"/>
        <v>0</v>
      </c>
      <c r="J28" s="80">
        <f t="shared" si="3"/>
        <v>-46.400000000000006</v>
      </c>
      <c r="K28">
        <v>0</v>
      </c>
      <c r="L28" s="43">
        <f t="shared" si="9"/>
        <v>24</v>
      </c>
      <c r="M28">
        <f t="shared" si="4"/>
        <v>0</v>
      </c>
      <c r="N28">
        <f t="shared" si="5"/>
        <v>1.2566945643042409E-2</v>
      </c>
      <c r="O28" s="80">
        <f t="shared" si="6"/>
        <v>0</v>
      </c>
      <c r="P28" s="80">
        <f t="shared" si="7"/>
        <v>-36.400000000000006</v>
      </c>
      <c r="Q28">
        <v>0</v>
      </c>
    </row>
    <row r="29" spans="1:17" x14ac:dyDescent="0.25">
      <c r="B29" s="195"/>
      <c r="C29" s="194"/>
      <c r="D29" s="6" t="s">
        <v>6</v>
      </c>
      <c r="F29">
        <f t="shared" si="8"/>
        <v>25</v>
      </c>
      <c r="G29">
        <f t="shared" si="0"/>
        <v>0</v>
      </c>
      <c r="H29">
        <f t="shared" si="1"/>
        <v>1.2315606730181561E-2</v>
      </c>
      <c r="I29" s="80">
        <f t="shared" si="2"/>
        <v>0</v>
      </c>
      <c r="J29" s="80">
        <f t="shared" si="3"/>
        <v>-49.199999999999989</v>
      </c>
      <c r="K29">
        <v>0</v>
      </c>
      <c r="L29" s="43">
        <f t="shared" si="9"/>
        <v>25</v>
      </c>
      <c r="M29">
        <f t="shared" si="4"/>
        <v>0</v>
      </c>
      <c r="N29">
        <f t="shared" si="5"/>
        <v>1.2315606730181561E-2</v>
      </c>
      <c r="O29" s="80">
        <f t="shared" si="6"/>
        <v>0</v>
      </c>
      <c r="P29" s="80">
        <f t="shared" si="7"/>
        <v>-39.199999999999989</v>
      </c>
      <c r="Q29">
        <v>0</v>
      </c>
    </row>
    <row r="30" spans="1:17" x14ac:dyDescent="0.25">
      <c r="B30" s="195"/>
      <c r="C30" s="194"/>
      <c r="D30" s="6" t="s">
        <v>6</v>
      </c>
      <c r="F30">
        <f t="shared" si="8"/>
        <v>26</v>
      </c>
      <c r="G30">
        <f t="shared" si="0"/>
        <v>0</v>
      </c>
      <c r="H30">
        <f t="shared" si="1"/>
        <v>1.2069294595577928E-2</v>
      </c>
      <c r="I30" s="80">
        <f t="shared" si="2"/>
        <v>0</v>
      </c>
      <c r="J30" s="80">
        <f t="shared" si="3"/>
        <v>-52</v>
      </c>
      <c r="K30">
        <v>0</v>
      </c>
      <c r="L30" s="43">
        <f t="shared" si="9"/>
        <v>26</v>
      </c>
      <c r="M30">
        <f t="shared" si="4"/>
        <v>0</v>
      </c>
      <c r="N30">
        <f t="shared" si="5"/>
        <v>1.2069294595577928E-2</v>
      </c>
      <c r="O30" s="80">
        <f t="shared" si="6"/>
        <v>0</v>
      </c>
      <c r="P30" s="80">
        <f t="shared" si="7"/>
        <v>-42</v>
      </c>
      <c r="Q30">
        <v>0</v>
      </c>
    </row>
    <row r="31" spans="1:17" x14ac:dyDescent="0.25">
      <c r="B31" s="195"/>
      <c r="C31" s="194"/>
      <c r="D31" s="6" t="s">
        <v>6</v>
      </c>
      <c r="F31">
        <f t="shared" si="8"/>
        <v>27</v>
      </c>
      <c r="G31">
        <f t="shared" si="0"/>
        <v>0</v>
      </c>
      <c r="H31">
        <f t="shared" si="1"/>
        <v>1.182790870366637E-2</v>
      </c>
      <c r="I31" s="80">
        <f t="shared" si="2"/>
        <v>0</v>
      </c>
      <c r="J31" s="80">
        <f t="shared" si="3"/>
        <v>-54.800000000000011</v>
      </c>
      <c r="K31">
        <v>0</v>
      </c>
      <c r="L31" s="43">
        <f t="shared" si="9"/>
        <v>27</v>
      </c>
      <c r="M31">
        <f t="shared" si="4"/>
        <v>0</v>
      </c>
      <c r="N31">
        <f t="shared" si="5"/>
        <v>1.182790870366637E-2</v>
      </c>
      <c r="O31" s="80">
        <f t="shared" si="6"/>
        <v>0</v>
      </c>
      <c r="P31" s="80">
        <f t="shared" si="7"/>
        <v>-44.800000000000011</v>
      </c>
      <c r="Q31">
        <v>0</v>
      </c>
    </row>
    <row r="32" spans="1:17" x14ac:dyDescent="0.25">
      <c r="B32" s="195"/>
      <c r="C32" s="194"/>
      <c r="D32" s="6" t="s">
        <v>6</v>
      </c>
      <c r="F32">
        <f t="shared" si="8"/>
        <v>28</v>
      </c>
      <c r="G32">
        <f t="shared" si="0"/>
        <v>0</v>
      </c>
      <c r="H32">
        <f t="shared" si="1"/>
        <v>1.1591350529593042E-2</v>
      </c>
      <c r="I32" s="80">
        <f t="shared" si="2"/>
        <v>0</v>
      </c>
      <c r="J32" s="80">
        <f t="shared" si="3"/>
        <v>-57.599999999999994</v>
      </c>
      <c r="K32">
        <v>0</v>
      </c>
      <c r="L32" s="43">
        <f t="shared" si="9"/>
        <v>28</v>
      </c>
      <c r="M32">
        <f t="shared" si="4"/>
        <v>0</v>
      </c>
      <c r="N32">
        <f t="shared" si="5"/>
        <v>1.1591350529593042E-2</v>
      </c>
      <c r="O32" s="80">
        <f t="shared" si="6"/>
        <v>0</v>
      </c>
      <c r="P32" s="80">
        <f t="shared" si="7"/>
        <v>-47.599999999999994</v>
      </c>
      <c r="Q32">
        <v>0</v>
      </c>
    </row>
    <row r="33" spans="1:17" x14ac:dyDescent="0.25">
      <c r="B33" s="195"/>
      <c r="C33" s="194"/>
      <c r="D33" s="6" t="s">
        <v>6</v>
      </c>
      <c r="F33">
        <f t="shared" si="8"/>
        <v>29</v>
      </c>
      <c r="G33">
        <f t="shared" si="0"/>
        <v>0</v>
      </c>
      <c r="H33">
        <f t="shared" si="1"/>
        <v>1.135952351900118E-2</v>
      </c>
      <c r="I33" s="80">
        <f t="shared" si="2"/>
        <v>0</v>
      </c>
      <c r="J33" s="80">
        <f t="shared" si="3"/>
        <v>-60.400000000000006</v>
      </c>
      <c r="K33">
        <v>0</v>
      </c>
      <c r="L33" s="43">
        <f t="shared" si="9"/>
        <v>29</v>
      </c>
      <c r="M33">
        <f t="shared" si="4"/>
        <v>0</v>
      </c>
      <c r="N33">
        <f t="shared" si="5"/>
        <v>1.135952351900118E-2</v>
      </c>
      <c r="O33" s="80">
        <f t="shared" si="6"/>
        <v>0</v>
      </c>
      <c r="P33" s="80">
        <f t="shared" si="7"/>
        <v>-50.400000000000006</v>
      </c>
      <c r="Q33">
        <v>0</v>
      </c>
    </row>
    <row r="34" spans="1:17" x14ac:dyDescent="0.25">
      <c r="B34" s="195"/>
      <c r="C34" s="194"/>
      <c r="D34" s="6" t="s">
        <v>6</v>
      </c>
      <c r="F34">
        <f t="shared" si="8"/>
        <v>30</v>
      </c>
      <c r="G34">
        <f t="shared" si="0"/>
        <v>0</v>
      </c>
      <c r="H34">
        <f t="shared" si="1"/>
        <v>1.1132333048621157E-2</v>
      </c>
      <c r="I34" s="80">
        <f t="shared" si="2"/>
        <v>0</v>
      </c>
      <c r="J34" s="80">
        <f t="shared" si="3"/>
        <v>-63.199999999999989</v>
      </c>
      <c r="K34">
        <v>0</v>
      </c>
      <c r="L34" s="43">
        <f t="shared" si="9"/>
        <v>30</v>
      </c>
      <c r="M34">
        <f t="shared" si="4"/>
        <v>0</v>
      </c>
      <c r="N34">
        <f t="shared" si="5"/>
        <v>1.1132333048621157E-2</v>
      </c>
      <c r="O34" s="80">
        <f t="shared" si="6"/>
        <v>0</v>
      </c>
      <c r="P34" s="80">
        <f t="shared" si="7"/>
        <v>-53.199999999999989</v>
      </c>
      <c r="Q34">
        <v>0</v>
      </c>
    </row>
    <row r="35" spans="1:17" x14ac:dyDescent="0.25">
      <c r="B35" s="195"/>
      <c r="C35" s="194"/>
      <c r="D35" s="6" t="s">
        <v>6</v>
      </c>
      <c r="F35">
        <f t="shared" si="8"/>
        <v>31</v>
      </c>
      <c r="G35">
        <f t="shared" si="0"/>
        <v>0</v>
      </c>
      <c r="H35">
        <f t="shared" si="1"/>
        <v>1.0909686387648734E-2</v>
      </c>
      <c r="I35" s="80">
        <f t="shared" si="2"/>
        <v>0</v>
      </c>
      <c r="J35" s="80">
        <f t="shared" si="3"/>
        <v>-66</v>
      </c>
      <c r="K35">
        <v>0</v>
      </c>
      <c r="L35" s="43">
        <f t="shared" si="9"/>
        <v>31</v>
      </c>
      <c r="M35">
        <f t="shared" si="4"/>
        <v>0</v>
      </c>
      <c r="N35">
        <f t="shared" si="5"/>
        <v>1.0909686387648734E-2</v>
      </c>
      <c r="O35" s="80">
        <f t="shared" si="6"/>
        <v>0</v>
      </c>
      <c r="P35" s="80">
        <f t="shared" si="7"/>
        <v>-56</v>
      </c>
      <c r="Q35">
        <v>0</v>
      </c>
    </row>
    <row r="36" spans="1:17" x14ac:dyDescent="0.25">
      <c r="B36" s="196"/>
      <c r="C36" s="197"/>
      <c r="D36" s="6" t="s">
        <v>6</v>
      </c>
      <c r="F36">
        <f t="shared" si="8"/>
        <v>32</v>
      </c>
      <c r="G36">
        <f t="shared" si="0"/>
        <v>0</v>
      </c>
      <c r="H36">
        <f t="shared" si="1"/>
        <v>1.0691492659895758E-2</v>
      </c>
      <c r="I36" s="80">
        <f t="shared" si="2"/>
        <v>0</v>
      </c>
      <c r="J36" s="80">
        <f t="shared" si="3"/>
        <v>-68.800000000000011</v>
      </c>
      <c r="K36">
        <v>0</v>
      </c>
      <c r="L36" s="43">
        <f t="shared" si="9"/>
        <v>32</v>
      </c>
      <c r="M36">
        <f t="shared" si="4"/>
        <v>0</v>
      </c>
      <c r="N36">
        <f t="shared" si="5"/>
        <v>1.0691492659895758E-2</v>
      </c>
      <c r="O36" s="80">
        <f t="shared" si="6"/>
        <v>0</v>
      </c>
      <c r="P36" s="80">
        <f t="shared" si="7"/>
        <v>-58.800000000000011</v>
      </c>
      <c r="Q36">
        <v>0</v>
      </c>
    </row>
    <row r="37" spans="1:17" x14ac:dyDescent="0.25">
      <c r="A37" s="6" t="s">
        <v>6</v>
      </c>
      <c r="B37" s="6" t="s">
        <v>6</v>
      </c>
      <c r="C37" s="6" t="s">
        <v>6</v>
      </c>
      <c r="D37" s="6" t="s">
        <v>6</v>
      </c>
      <c r="F37">
        <f t="shared" si="8"/>
        <v>33</v>
      </c>
      <c r="G37">
        <f t="shared" ref="G37:G64" si="10">H37*I37</f>
        <v>0</v>
      </c>
      <c r="H37">
        <f t="shared" ref="H37:H64" si="11">((1-$C$8)^(F37-1))*$C$8</f>
        <v>1.0477662806697843E-2</v>
      </c>
      <c r="I37" s="80">
        <f t="shared" ref="I37:I64" si="12">MAX(J37,K37)</f>
        <v>0</v>
      </c>
      <c r="J37" s="80">
        <f t="shared" ref="J37:J64" si="13">$C$10*$C$6-($C$5+((F37-1)/$C$7)*($C$6-$C$5)+$C$9*($C$6-$C$5)*(1-(F37-1)/$C$7))</f>
        <v>-71.599999999999994</v>
      </c>
      <c r="K37">
        <v>0</v>
      </c>
      <c r="L37" s="43">
        <f t="shared" si="9"/>
        <v>33</v>
      </c>
      <c r="M37">
        <f t="shared" ref="M37:M64" si="14">N37*O37</f>
        <v>0</v>
      </c>
      <c r="N37">
        <f t="shared" ref="N37:N64" si="15">((1-$C$8)^(L37-1))*$C$8</f>
        <v>1.0477662806697843E-2</v>
      </c>
      <c r="O37" s="80">
        <f t="shared" ref="O37:O64" si="16">MAX(P37,Q37)</f>
        <v>0</v>
      </c>
      <c r="P37" s="80">
        <f t="shared" ref="P37:P64" si="17">$M$4*$C$6-($C$5+((L37-1)/$C$7)*($C$6-$C$5)+$C$9*($C$6-$C$5)*(1-(L37-1)/$C$7))</f>
        <v>-61.599999999999994</v>
      </c>
      <c r="Q37">
        <v>0</v>
      </c>
    </row>
    <row r="38" spans="1:17" x14ac:dyDescent="0.25">
      <c r="F38">
        <f t="shared" ref="F38:F64" si="18">F37+1</f>
        <v>34</v>
      </c>
      <c r="G38">
        <f t="shared" si="10"/>
        <v>0</v>
      </c>
      <c r="H38">
        <f t="shared" si="11"/>
        <v>1.0268109550563887E-2</v>
      </c>
      <c r="I38" s="80">
        <f t="shared" si="12"/>
        <v>0</v>
      </c>
      <c r="J38" s="80">
        <f t="shared" si="13"/>
        <v>-74.400000000000006</v>
      </c>
      <c r="K38">
        <v>0</v>
      </c>
      <c r="L38" s="43">
        <f t="shared" ref="L38:L64" si="19">L37+1</f>
        <v>34</v>
      </c>
      <c r="M38">
        <f t="shared" si="14"/>
        <v>0</v>
      </c>
      <c r="N38">
        <f t="shared" si="15"/>
        <v>1.0268109550563887E-2</v>
      </c>
      <c r="O38" s="80">
        <f t="shared" si="16"/>
        <v>0</v>
      </c>
      <c r="P38" s="80">
        <f t="shared" si="17"/>
        <v>-64.400000000000006</v>
      </c>
      <c r="Q38">
        <v>0</v>
      </c>
    </row>
    <row r="39" spans="1:17" x14ac:dyDescent="0.25">
      <c r="F39">
        <f t="shared" si="18"/>
        <v>35</v>
      </c>
      <c r="G39">
        <f t="shared" si="10"/>
        <v>0</v>
      </c>
      <c r="H39">
        <f t="shared" si="11"/>
        <v>1.0062747359552609E-2</v>
      </c>
      <c r="I39" s="80">
        <f t="shared" si="12"/>
        <v>0</v>
      </c>
      <c r="J39" s="80">
        <f t="shared" si="13"/>
        <v>-77.199999999999989</v>
      </c>
      <c r="K39">
        <v>0</v>
      </c>
      <c r="L39" s="43">
        <f t="shared" si="19"/>
        <v>35</v>
      </c>
      <c r="M39">
        <f t="shared" si="14"/>
        <v>0</v>
      </c>
      <c r="N39">
        <f t="shared" si="15"/>
        <v>1.0062747359552609E-2</v>
      </c>
      <c r="O39" s="80">
        <f t="shared" si="16"/>
        <v>0</v>
      </c>
      <c r="P39" s="80">
        <f t="shared" si="17"/>
        <v>-67.199999999999989</v>
      </c>
      <c r="Q39">
        <v>0</v>
      </c>
    </row>
    <row r="40" spans="1:17" x14ac:dyDescent="0.25">
      <c r="F40">
        <f t="shared" si="18"/>
        <v>36</v>
      </c>
      <c r="G40">
        <f t="shared" si="10"/>
        <v>0</v>
      </c>
      <c r="H40">
        <f t="shared" si="11"/>
        <v>9.8614924123615558E-3</v>
      </c>
      <c r="I40" s="80">
        <f t="shared" si="12"/>
        <v>0</v>
      </c>
      <c r="J40" s="80">
        <f t="shared" si="13"/>
        <v>-80</v>
      </c>
      <c r="K40">
        <v>0</v>
      </c>
      <c r="L40" s="43">
        <f t="shared" si="19"/>
        <v>36</v>
      </c>
      <c r="M40">
        <f t="shared" si="14"/>
        <v>0</v>
      </c>
      <c r="N40">
        <f t="shared" si="15"/>
        <v>9.8614924123615558E-3</v>
      </c>
      <c r="O40" s="80">
        <f t="shared" si="16"/>
        <v>0</v>
      </c>
      <c r="P40" s="80">
        <f t="shared" si="17"/>
        <v>-70</v>
      </c>
      <c r="Q40">
        <v>0</v>
      </c>
    </row>
    <row r="41" spans="1:17" x14ac:dyDescent="0.25">
      <c r="F41">
        <f t="shared" si="18"/>
        <v>37</v>
      </c>
      <c r="G41">
        <f t="shared" si="10"/>
        <v>0</v>
      </c>
      <c r="H41">
        <f t="shared" si="11"/>
        <v>9.6642625641143228E-3</v>
      </c>
      <c r="I41" s="80">
        <f t="shared" si="12"/>
        <v>0</v>
      </c>
      <c r="J41" s="80">
        <f t="shared" si="13"/>
        <v>-82.800000000000011</v>
      </c>
      <c r="K41">
        <v>0</v>
      </c>
      <c r="L41" s="43">
        <f t="shared" si="19"/>
        <v>37</v>
      </c>
      <c r="M41">
        <f t="shared" si="14"/>
        <v>0</v>
      </c>
      <c r="N41">
        <f t="shared" si="15"/>
        <v>9.6642625641143228E-3</v>
      </c>
      <c r="O41" s="80">
        <f t="shared" si="16"/>
        <v>0</v>
      </c>
      <c r="P41" s="80">
        <f t="shared" si="17"/>
        <v>-72.800000000000011</v>
      </c>
      <c r="Q41">
        <v>0</v>
      </c>
    </row>
    <row r="42" spans="1:17" x14ac:dyDescent="0.25">
      <c r="F42">
        <f t="shared" si="18"/>
        <v>38</v>
      </c>
      <c r="G42">
        <f t="shared" si="10"/>
        <v>0</v>
      </c>
      <c r="H42">
        <f t="shared" si="11"/>
        <v>9.4709773128320365E-3</v>
      </c>
      <c r="I42" s="80">
        <f t="shared" si="12"/>
        <v>0</v>
      </c>
      <c r="J42" s="80">
        <f t="shared" si="13"/>
        <v>-85.6</v>
      </c>
      <c r="K42">
        <v>0</v>
      </c>
      <c r="L42" s="43">
        <f t="shared" si="19"/>
        <v>38</v>
      </c>
      <c r="M42">
        <f t="shared" si="14"/>
        <v>0</v>
      </c>
      <c r="N42">
        <f t="shared" si="15"/>
        <v>9.4709773128320365E-3</v>
      </c>
      <c r="O42" s="80">
        <f t="shared" si="16"/>
        <v>0</v>
      </c>
      <c r="P42" s="80">
        <f t="shared" si="17"/>
        <v>-75.599999999999994</v>
      </c>
      <c r="Q42">
        <v>0</v>
      </c>
    </row>
    <row r="43" spans="1:17" x14ac:dyDescent="0.25">
      <c r="F43">
        <f t="shared" si="18"/>
        <v>39</v>
      </c>
      <c r="G43">
        <f t="shared" si="10"/>
        <v>0</v>
      </c>
      <c r="H43">
        <f t="shared" si="11"/>
        <v>9.2815577665753962E-3</v>
      </c>
      <c r="I43" s="80">
        <f t="shared" si="12"/>
        <v>0</v>
      </c>
      <c r="J43" s="80">
        <f t="shared" si="13"/>
        <v>-88.4</v>
      </c>
      <c r="K43">
        <v>0</v>
      </c>
      <c r="L43" s="43">
        <f t="shared" si="19"/>
        <v>39</v>
      </c>
      <c r="M43">
        <f t="shared" si="14"/>
        <v>0</v>
      </c>
      <c r="N43">
        <f t="shared" si="15"/>
        <v>9.2815577665753962E-3</v>
      </c>
      <c r="O43" s="80">
        <f t="shared" si="16"/>
        <v>0</v>
      </c>
      <c r="P43" s="80">
        <f t="shared" si="17"/>
        <v>-78.400000000000006</v>
      </c>
      <c r="Q43">
        <v>0</v>
      </c>
    </row>
    <row r="44" spans="1:17" x14ac:dyDescent="0.25">
      <c r="F44">
        <f t="shared" si="18"/>
        <v>40</v>
      </c>
      <c r="G44">
        <f t="shared" si="10"/>
        <v>0</v>
      </c>
      <c r="H44">
        <f t="shared" si="11"/>
        <v>9.0959266112438878E-3</v>
      </c>
      <c r="I44" s="80">
        <f t="shared" si="12"/>
        <v>0</v>
      </c>
      <c r="J44" s="80">
        <f t="shared" si="13"/>
        <v>-91.199999999999989</v>
      </c>
      <c r="K44">
        <v>0</v>
      </c>
      <c r="L44" s="43">
        <f t="shared" si="19"/>
        <v>40</v>
      </c>
      <c r="M44">
        <f t="shared" si="14"/>
        <v>0</v>
      </c>
      <c r="N44">
        <f t="shared" si="15"/>
        <v>9.0959266112438878E-3</v>
      </c>
      <c r="O44" s="80">
        <f t="shared" si="16"/>
        <v>0</v>
      </c>
      <c r="P44" s="80">
        <f t="shared" si="17"/>
        <v>-81.199999999999989</v>
      </c>
      <c r="Q44">
        <v>0</v>
      </c>
    </row>
    <row r="45" spans="1:17" x14ac:dyDescent="0.25">
      <c r="F45">
        <f t="shared" si="18"/>
        <v>41</v>
      </c>
      <c r="G45">
        <f t="shared" si="10"/>
        <v>0</v>
      </c>
      <c r="H45">
        <f t="shared" si="11"/>
        <v>8.9140080790190094E-3</v>
      </c>
      <c r="I45" s="80">
        <f t="shared" si="12"/>
        <v>0</v>
      </c>
      <c r="J45" s="80">
        <f t="shared" si="13"/>
        <v>-94</v>
      </c>
      <c r="K45">
        <v>0</v>
      </c>
      <c r="L45" s="43">
        <f t="shared" si="19"/>
        <v>41</v>
      </c>
      <c r="M45">
        <f t="shared" si="14"/>
        <v>0</v>
      </c>
      <c r="N45">
        <f t="shared" si="15"/>
        <v>8.9140080790190094E-3</v>
      </c>
      <c r="O45" s="80">
        <f t="shared" si="16"/>
        <v>0</v>
      </c>
      <c r="P45" s="80">
        <f t="shared" si="17"/>
        <v>-84</v>
      </c>
      <c r="Q45">
        <v>0</v>
      </c>
    </row>
    <row r="46" spans="1:17" x14ac:dyDescent="0.25">
      <c r="F46">
        <f t="shared" si="18"/>
        <v>42</v>
      </c>
      <c r="G46">
        <f t="shared" si="10"/>
        <v>0</v>
      </c>
      <c r="H46">
        <f t="shared" si="11"/>
        <v>8.735727917438629E-3</v>
      </c>
      <c r="I46" s="80">
        <f t="shared" si="12"/>
        <v>0</v>
      </c>
      <c r="J46" s="80">
        <f t="shared" si="13"/>
        <v>-96.800000000000011</v>
      </c>
      <c r="K46">
        <v>0</v>
      </c>
      <c r="L46" s="43">
        <f t="shared" si="19"/>
        <v>42</v>
      </c>
      <c r="M46">
        <f t="shared" si="14"/>
        <v>0</v>
      </c>
      <c r="N46">
        <f t="shared" si="15"/>
        <v>8.735727917438629E-3</v>
      </c>
      <c r="O46" s="80">
        <f t="shared" si="16"/>
        <v>0</v>
      </c>
      <c r="P46" s="80">
        <f t="shared" si="17"/>
        <v>-86.800000000000011</v>
      </c>
      <c r="Q46">
        <v>0</v>
      </c>
    </row>
    <row r="47" spans="1:17" x14ac:dyDescent="0.25">
      <c r="F47">
        <f t="shared" si="18"/>
        <v>43</v>
      </c>
      <c r="G47">
        <f t="shared" si="10"/>
        <v>0</v>
      </c>
      <c r="H47">
        <f t="shared" si="11"/>
        <v>8.5610133590898561E-3</v>
      </c>
      <c r="I47" s="80">
        <f t="shared" si="12"/>
        <v>0</v>
      </c>
      <c r="J47" s="80">
        <f t="shared" si="13"/>
        <v>-99.6</v>
      </c>
      <c r="K47">
        <v>0</v>
      </c>
      <c r="L47" s="43">
        <f t="shared" si="19"/>
        <v>43</v>
      </c>
      <c r="M47">
        <f t="shared" si="14"/>
        <v>0</v>
      </c>
      <c r="N47">
        <f t="shared" si="15"/>
        <v>8.5610133590898561E-3</v>
      </c>
      <c r="O47" s="80">
        <f t="shared" si="16"/>
        <v>0</v>
      </c>
      <c r="P47" s="80">
        <f t="shared" si="17"/>
        <v>-89.6</v>
      </c>
      <c r="Q47">
        <v>0</v>
      </c>
    </row>
    <row r="48" spans="1:17" x14ac:dyDescent="0.25">
      <c r="F48">
        <f t="shared" si="18"/>
        <v>44</v>
      </c>
      <c r="G48">
        <f t="shared" si="10"/>
        <v>0</v>
      </c>
      <c r="H48">
        <f t="shared" si="11"/>
        <v>8.3897930919080588E-3</v>
      </c>
      <c r="I48" s="80">
        <f t="shared" si="12"/>
        <v>0</v>
      </c>
      <c r="J48" s="80">
        <f t="shared" si="13"/>
        <v>-102.4</v>
      </c>
      <c r="K48">
        <v>0</v>
      </c>
      <c r="L48" s="43">
        <f t="shared" si="19"/>
        <v>44</v>
      </c>
      <c r="M48">
        <f t="shared" si="14"/>
        <v>0</v>
      </c>
      <c r="N48">
        <f t="shared" si="15"/>
        <v>8.3897930919080588E-3</v>
      </c>
      <c r="O48" s="80">
        <f t="shared" si="16"/>
        <v>0</v>
      </c>
      <c r="P48" s="80">
        <f t="shared" si="17"/>
        <v>-92.4</v>
      </c>
      <c r="Q48">
        <v>0</v>
      </c>
    </row>
    <row r="49" spans="6:17" x14ac:dyDescent="0.25">
      <c r="F49">
        <f t="shared" si="18"/>
        <v>45</v>
      </c>
      <c r="G49">
        <f t="shared" si="10"/>
        <v>0</v>
      </c>
      <c r="H49">
        <f t="shared" si="11"/>
        <v>8.2219972300698971E-3</v>
      </c>
      <c r="I49" s="80">
        <f t="shared" si="12"/>
        <v>0</v>
      </c>
      <c r="J49" s="80">
        <f t="shared" si="13"/>
        <v>-105.19999999999999</v>
      </c>
      <c r="K49">
        <v>0</v>
      </c>
      <c r="L49" s="43">
        <f t="shared" si="19"/>
        <v>45</v>
      </c>
      <c r="M49">
        <f t="shared" si="14"/>
        <v>0</v>
      </c>
      <c r="N49">
        <f t="shared" si="15"/>
        <v>8.2219972300698971E-3</v>
      </c>
      <c r="O49" s="80">
        <f t="shared" si="16"/>
        <v>0</v>
      </c>
      <c r="P49" s="80">
        <f t="shared" si="17"/>
        <v>-95.199999999999989</v>
      </c>
      <c r="Q49">
        <v>0</v>
      </c>
    </row>
    <row r="50" spans="6:17" x14ac:dyDescent="0.25">
      <c r="F50">
        <f t="shared" si="18"/>
        <v>46</v>
      </c>
      <c r="G50">
        <f t="shared" si="10"/>
        <v>0</v>
      </c>
      <c r="H50">
        <f t="shared" si="11"/>
        <v>8.0575572854684994E-3</v>
      </c>
      <c r="I50" s="80">
        <f t="shared" si="12"/>
        <v>0</v>
      </c>
      <c r="J50" s="80">
        <f t="shared" si="13"/>
        <v>-108</v>
      </c>
      <c r="K50">
        <v>0</v>
      </c>
      <c r="L50" s="43">
        <f t="shared" si="19"/>
        <v>46</v>
      </c>
      <c r="M50">
        <f t="shared" si="14"/>
        <v>0</v>
      </c>
      <c r="N50">
        <f t="shared" si="15"/>
        <v>8.0575572854684994E-3</v>
      </c>
      <c r="O50" s="80">
        <f t="shared" si="16"/>
        <v>0</v>
      </c>
      <c r="P50" s="80">
        <f t="shared" si="17"/>
        <v>-98</v>
      </c>
      <c r="Q50">
        <v>0</v>
      </c>
    </row>
    <row r="51" spans="6:17" x14ac:dyDescent="0.25">
      <c r="F51">
        <f t="shared" si="18"/>
        <v>47</v>
      </c>
      <c r="G51">
        <f t="shared" si="10"/>
        <v>0</v>
      </c>
      <c r="H51">
        <f t="shared" si="11"/>
        <v>7.8964061397591295E-3</v>
      </c>
      <c r="I51" s="80">
        <f t="shared" si="12"/>
        <v>0</v>
      </c>
      <c r="J51" s="80">
        <f t="shared" si="13"/>
        <v>-110.80000000000001</v>
      </c>
      <c r="K51">
        <v>0</v>
      </c>
      <c r="L51" s="43">
        <f t="shared" si="19"/>
        <v>47</v>
      </c>
      <c r="M51">
        <f t="shared" si="14"/>
        <v>0</v>
      </c>
      <c r="N51">
        <f t="shared" si="15"/>
        <v>7.8964061397591295E-3</v>
      </c>
      <c r="O51" s="80">
        <f t="shared" si="16"/>
        <v>0</v>
      </c>
      <c r="P51" s="80">
        <f t="shared" si="17"/>
        <v>-100.80000000000001</v>
      </c>
      <c r="Q51">
        <v>0</v>
      </c>
    </row>
    <row r="52" spans="6:17" x14ac:dyDescent="0.25">
      <c r="F52">
        <f t="shared" si="18"/>
        <v>48</v>
      </c>
      <c r="G52">
        <f t="shared" si="10"/>
        <v>0</v>
      </c>
      <c r="H52">
        <f t="shared" si="11"/>
        <v>7.7384780169639459E-3</v>
      </c>
      <c r="I52" s="80">
        <f t="shared" si="12"/>
        <v>0</v>
      </c>
      <c r="J52" s="80">
        <f t="shared" si="13"/>
        <v>-113.6</v>
      </c>
      <c r="K52">
        <v>0</v>
      </c>
      <c r="L52" s="43">
        <f t="shared" si="19"/>
        <v>48</v>
      </c>
      <c r="M52">
        <f t="shared" si="14"/>
        <v>0</v>
      </c>
      <c r="N52">
        <f t="shared" si="15"/>
        <v>7.7384780169639459E-3</v>
      </c>
      <c r="O52" s="80">
        <f t="shared" si="16"/>
        <v>0</v>
      </c>
      <c r="P52" s="80">
        <f t="shared" si="17"/>
        <v>-103.6</v>
      </c>
      <c r="Q52">
        <v>0</v>
      </c>
    </row>
    <row r="53" spans="6:17" x14ac:dyDescent="0.25">
      <c r="F53">
        <f t="shared" si="18"/>
        <v>49</v>
      </c>
      <c r="G53">
        <f t="shared" si="10"/>
        <v>0</v>
      </c>
      <c r="H53">
        <f t="shared" si="11"/>
        <v>7.5837084566246675E-3</v>
      </c>
      <c r="I53" s="80">
        <f t="shared" si="12"/>
        <v>0</v>
      </c>
      <c r="J53" s="80">
        <f t="shared" si="13"/>
        <v>-116.4</v>
      </c>
      <c r="K53">
        <v>0</v>
      </c>
      <c r="L53" s="43">
        <f t="shared" si="19"/>
        <v>49</v>
      </c>
      <c r="M53">
        <f t="shared" si="14"/>
        <v>0</v>
      </c>
      <c r="N53">
        <f t="shared" si="15"/>
        <v>7.5837084566246675E-3</v>
      </c>
      <c r="O53" s="80">
        <f t="shared" si="16"/>
        <v>0</v>
      </c>
      <c r="P53" s="80">
        <f t="shared" si="17"/>
        <v>-106.4</v>
      </c>
      <c r="Q53">
        <v>0</v>
      </c>
    </row>
    <row r="54" spans="6:17" x14ac:dyDescent="0.25">
      <c r="F54">
        <f t="shared" si="18"/>
        <v>50</v>
      </c>
      <c r="G54">
        <f t="shared" si="10"/>
        <v>0</v>
      </c>
      <c r="H54">
        <f t="shared" si="11"/>
        <v>7.4320342874921739E-3</v>
      </c>
      <c r="I54" s="80">
        <f t="shared" si="12"/>
        <v>0</v>
      </c>
      <c r="J54" s="80">
        <f t="shared" si="13"/>
        <v>-119.19999999999999</v>
      </c>
      <c r="K54">
        <v>0</v>
      </c>
      <c r="L54" s="43">
        <f t="shared" si="19"/>
        <v>50</v>
      </c>
      <c r="M54">
        <f t="shared" si="14"/>
        <v>0</v>
      </c>
      <c r="N54">
        <f t="shared" si="15"/>
        <v>7.4320342874921739E-3</v>
      </c>
      <c r="O54" s="80">
        <f t="shared" si="16"/>
        <v>0</v>
      </c>
      <c r="P54" s="80">
        <f t="shared" si="17"/>
        <v>-109.19999999999999</v>
      </c>
      <c r="Q54">
        <v>0</v>
      </c>
    </row>
    <row r="55" spans="6:17" x14ac:dyDescent="0.25">
      <c r="F55">
        <f t="shared" si="18"/>
        <v>51</v>
      </c>
      <c r="G55">
        <f t="shared" si="10"/>
        <v>0</v>
      </c>
      <c r="H55">
        <f t="shared" si="11"/>
        <v>7.2833936017423296E-3</v>
      </c>
      <c r="I55" s="80">
        <f t="shared" si="12"/>
        <v>0</v>
      </c>
      <c r="J55" s="80">
        <f t="shared" si="13"/>
        <v>-122</v>
      </c>
      <c r="K55">
        <v>0</v>
      </c>
      <c r="L55" s="43">
        <f t="shared" si="19"/>
        <v>51</v>
      </c>
      <c r="M55">
        <f t="shared" si="14"/>
        <v>0</v>
      </c>
      <c r="N55">
        <f t="shared" si="15"/>
        <v>7.2833936017423296E-3</v>
      </c>
      <c r="O55" s="80">
        <f t="shared" si="16"/>
        <v>0</v>
      </c>
      <c r="P55" s="80">
        <f t="shared" si="17"/>
        <v>-112</v>
      </c>
      <c r="Q55">
        <v>0</v>
      </c>
    </row>
    <row r="56" spans="6:17" x14ac:dyDescent="0.25">
      <c r="F56">
        <f t="shared" si="18"/>
        <v>52</v>
      </c>
      <c r="G56">
        <f t="shared" si="10"/>
        <v>0</v>
      </c>
      <c r="H56">
        <f t="shared" si="11"/>
        <v>7.1377257297074838E-3</v>
      </c>
      <c r="I56" s="80">
        <f t="shared" si="12"/>
        <v>0</v>
      </c>
      <c r="J56" s="80">
        <f t="shared" si="13"/>
        <v>-124.80000000000001</v>
      </c>
      <c r="K56">
        <v>0</v>
      </c>
      <c r="L56" s="43">
        <f t="shared" si="19"/>
        <v>52</v>
      </c>
      <c r="M56">
        <f t="shared" si="14"/>
        <v>0</v>
      </c>
      <c r="N56">
        <f t="shared" si="15"/>
        <v>7.1377257297074838E-3</v>
      </c>
      <c r="O56" s="80">
        <f t="shared" si="16"/>
        <v>0</v>
      </c>
      <c r="P56" s="80">
        <f t="shared" si="17"/>
        <v>-114.80000000000001</v>
      </c>
      <c r="Q56">
        <v>0</v>
      </c>
    </row>
    <row r="57" spans="6:17" x14ac:dyDescent="0.25">
      <c r="F57">
        <f t="shared" si="18"/>
        <v>53</v>
      </c>
      <c r="G57">
        <f t="shared" si="10"/>
        <v>0</v>
      </c>
      <c r="H57">
        <f t="shared" si="11"/>
        <v>6.9949712151133334E-3</v>
      </c>
      <c r="I57" s="80">
        <f t="shared" si="12"/>
        <v>0</v>
      </c>
      <c r="J57" s="80">
        <f t="shared" si="13"/>
        <v>-127.6</v>
      </c>
      <c r="K57">
        <v>0</v>
      </c>
      <c r="L57" s="43">
        <f t="shared" si="19"/>
        <v>53</v>
      </c>
      <c r="M57">
        <f t="shared" si="14"/>
        <v>0</v>
      </c>
      <c r="N57">
        <f t="shared" si="15"/>
        <v>6.9949712151133334E-3</v>
      </c>
      <c r="O57" s="80">
        <f t="shared" si="16"/>
        <v>0</v>
      </c>
      <c r="P57" s="80">
        <f t="shared" si="17"/>
        <v>-117.6</v>
      </c>
      <c r="Q57">
        <v>0</v>
      </c>
    </row>
    <row r="58" spans="6:17" x14ac:dyDescent="0.25">
      <c r="F58">
        <f t="shared" si="18"/>
        <v>54</v>
      </c>
      <c r="G58">
        <f t="shared" si="10"/>
        <v>0</v>
      </c>
      <c r="H58">
        <f t="shared" si="11"/>
        <v>6.8550717908110667E-3</v>
      </c>
      <c r="I58" s="80">
        <f t="shared" si="12"/>
        <v>0</v>
      </c>
      <c r="J58" s="80">
        <f t="shared" si="13"/>
        <v>-130.4</v>
      </c>
      <c r="K58">
        <v>0</v>
      </c>
      <c r="L58" s="43">
        <f t="shared" si="19"/>
        <v>54</v>
      </c>
      <c r="M58">
        <f t="shared" si="14"/>
        <v>0</v>
      </c>
      <c r="N58">
        <f t="shared" si="15"/>
        <v>6.8550717908110667E-3</v>
      </c>
      <c r="O58" s="80">
        <f t="shared" si="16"/>
        <v>0</v>
      </c>
      <c r="P58" s="80">
        <f t="shared" si="17"/>
        <v>-120.4</v>
      </c>
      <c r="Q58">
        <v>0</v>
      </c>
    </row>
    <row r="59" spans="6:17" x14ac:dyDescent="0.25">
      <c r="F59">
        <f t="shared" si="18"/>
        <v>55</v>
      </c>
      <c r="G59">
        <f t="shared" si="10"/>
        <v>0</v>
      </c>
      <c r="H59">
        <f t="shared" si="11"/>
        <v>6.7179703549948453E-3</v>
      </c>
      <c r="I59" s="80">
        <f t="shared" si="12"/>
        <v>0</v>
      </c>
      <c r="J59" s="80">
        <f t="shared" si="13"/>
        <v>-133.19999999999999</v>
      </c>
      <c r="K59">
        <v>0</v>
      </c>
      <c r="L59" s="43">
        <f t="shared" si="19"/>
        <v>55</v>
      </c>
      <c r="M59">
        <f t="shared" si="14"/>
        <v>0</v>
      </c>
      <c r="N59">
        <f t="shared" si="15"/>
        <v>6.7179703549948453E-3</v>
      </c>
      <c r="O59" s="80">
        <f t="shared" si="16"/>
        <v>0</v>
      </c>
      <c r="P59" s="80">
        <f t="shared" si="17"/>
        <v>-123.19999999999999</v>
      </c>
      <c r="Q59">
        <v>0</v>
      </c>
    </row>
    <row r="60" spans="6:17" x14ac:dyDescent="0.25">
      <c r="F60">
        <f t="shared" si="18"/>
        <v>56</v>
      </c>
      <c r="G60">
        <f t="shared" si="10"/>
        <v>0</v>
      </c>
      <c r="H60">
        <f t="shared" si="11"/>
        <v>6.5836109478949476E-3</v>
      </c>
      <c r="I60" s="80">
        <f t="shared" si="12"/>
        <v>0</v>
      </c>
      <c r="J60" s="80">
        <f t="shared" si="13"/>
        <v>-136</v>
      </c>
      <c r="K60">
        <v>0</v>
      </c>
      <c r="L60" s="43">
        <f t="shared" si="19"/>
        <v>56</v>
      </c>
      <c r="M60">
        <f t="shared" si="14"/>
        <v>0</v>
      </c>
      <c r="N60">
        <f t="shared" si="15"/>
        <v>6.5836109478949476E-3</v>
      </c>
      <c r="O60" s="80">
        <f t="shared" si="16"/>
        <v>0</v>
      </c>
      <c r="P60" s="80">
        <f t="shared" si="17"/>
        <v>-126</v>
      </c>
      <c r="Q60">
        <v>0</v>
      </c>
    </row>
    <row r="61" spans="6:17" x14ac:dyDescent="0.25">
      <c r="F61">
        <f t="shared" si="18"/>
        <v>57</v>
      </c>
      <c r="G61">
        <f t="shared" si="10"/>
        <v>0</v>
      </c>
      <c r="H61">
        <f t="shared" si="11"/>
        <v>6.4519387289370487E-3</v>
      </c>
      <c r="I61" s="80">
        <f t="shared" si="12"/>
        <v>0</v>
      </c>
      <c r="J61" s="80">
        <f t="shared" si="13"/>
        <v>-138.80000000000001</v>
      </c>
      <c r="K61">
        <v>0</v>
      </c>
      <c r="L61" s="43">
        <f t="shared" si="19"/>
        <v>57</v>
      </c>
      <c r="M61">
        <f t="shared" si="14"/>
        <v>0</v>
      </c>
      <c r="N61">
        <f t="shared" si="15"/>
        <v>6.4519387289370487E-3</v>
      </c>
      <c r="O61" s="80">
        <f t="shared" si="16"/>
        <v>0</v>
      </c>
      <c r="P61" s="80">
        <f t="shared" si="17"/>
        <v>-128.80000000000001</v>
      </c>
      <c r="Q61">
        <v>0</v>
      </c>
    </row>
    <row r="62" spans="6:17" x14ac:dyDescent="0.25">
      <c r="F62">
        <f t="shared" si="18"/>
        <v>58</v>
      </c>
      <c r="G62">
        <f t="shared" si="10"/>
        <v>0</v>
      </c>
      <c r="H62">
        <f t="shared" si="11"/>
        <v>6.3228999543583075E-3</v>
      </c>
      <c r="I62" s="80">
        <f t="shared" si="12"/>
        <v>0</v>
      </c>
      <c r="J62" s="80">
        <f t="shared" si="13"/>
        <v>-141.6</v>
      </c>
      <c r="K62">
        <v>0</v>
      </c>
      <c r="L62" s="43">
        <f t="shared" si="19"/>
        <v>58</v>
      </c>
      <c r="M62">
        <f t="shared" si="14"/>
        <v>0</v>
      </c>
      <c r="N62">
        <f t="shared" si="15"/>
        <v>6.3228999543583075E-3</v>
      </c>
      <c r="O62" s="80">
        <f t="shared" si="16"/>
        <v>0</v>
      </c>
      <c r="P62" s="80">
        <f t="shared" si="17"/>
        <v>-131.6</v>
      </c>
      <c r="Q62">
        <v>0</v>
      </c>
    </row>
    <row r="63" spans="6:17" x14ac:dyDescent="0.25">
      <c r="F63">
        <f t="shared" si="18"/>
        <v>59</v>
      </c>
      <c r="G63">
        <f t="shared" si="10"/>
        <v>0</v>
      </c>
      <c r="H63">
        <f t="shared" si="11"/>
        <v>6.1964419552711413E-3</v>
      </c>
      <c r="I63" s="80">
        <f t="shared" si="12"/>
        <v>0</v>
      </c>
      <c r="J63" s="80">
        <f t="shared" si="13"/>
        <v>-144.4</v>
      </c>
      <c r="K63">
        <v>0</v>
      </c>
      <c r="L63" s="43">
        <f t="shared" si="19"/>
        <v>59</v>
      </c>
      <c r="M63">
        <f t="shared" si="14"/>
        <v>0</v>
      </c>
      <c r="N63">
        <f t="shared" si="15"/>
        <v>6.1964419552711413E-3</v>
      </c>
      <c r="O63" s="80">
        <f t="shared" si="16"/>
        <v>0</v>
      </c>
      <c r="P63" s="80">
        <f t="shared" si="17"/>
        <v>-134.4</v>
      </c>
      <c r="Q63">
        <v>0</v>
      </c>
    </row>
    <row r="64" spans="6:17" x14ac:dyDescent="0.25">
      <c r="F64">
        <f t="shared" si="18"/>
        <v>60</v>
      </c>
      <c r="G64">
        <f t="shared" si="10"/>
        <v>0</v>
      </c>
      <c r="H64">
        <f t="shared" si="11"/>
        <v>6.0725131161657175E-3</v>
      </c>
      <c r="I64" s="80">
        <f t="shared" si="12"/>
        <v>0</v>
      </c>
      <c r="J64" s="80">
        <f t="shared" si="13"/>
        <v>-147.19999999999999</v>
      </c>
      <c r="K64">
        <v>0</v>
      </c>
      <c r="L64" s="43">
        <f t="shared" si="19"/>
        <v>60</v>
      </c>
      <c r="M64">
        <f t="shared" si="14"/>
        <v>0</v>
      </c>
      <c r="N64">
        <f t="shared" si="15"/>
        <v>6.0725131161657175E-3</v>
      </c>
      <c r="O64" s="80">
        <f t="shared" si="16"/>
        <v>0</v>
      </c>
      <c r="P64" s="80">
        <f t="shared" si="17"/>
        <v>-137.19999999999999</v>
      </c>
      <c r="Q64">
        <v>0</v>
      </c>
    </row>
  </sheetData>
  <mergeCells count="1">
    <mergeCell ref="B22:C3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65</Value>
    </TaxCatchAll>
    <Publication_x0020_Date xmlns="2b395ac2-8163-4b1c-b2c0-fcf6a8d6604b" xsi:nil="true"/>
    <b687f5c370784be381b55f490b18f6b4 xmlns="46cf5d05-017c-4f03-b1f6-893edf8c1825" xsi:nil="true"/>
    <StartDate xmlns="http://schemas.microsoft.com/sharepoint/v3">2019-04-01T08:31:00+00:00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B4438FC7-E450-43D1-BE7C-021D48BC7AC0}">
  <ds:schemaRefs/>
</ds:datastoreItem>
</file>

<file path=customXml/itemProps2.xml><?xml version="1.0" encoding="utf-8"?>
<ds:datastoreItem xmlns:ds="http://schemas.openxmlformats.org/officeDocument/2006/customXml" ds:itemID="{5C33B633-5F1E-46B1-A778-DD651EE41178}">
  <ds:schemaRefs>
    <ds:schemaRef ds:uri="http://schemas.microsoft.com/sharepoint/v3/contenttype/forms/url"/>
  </ds:schemaRefs>
</ds:datastoreItem>
</file>

<file path=customXml/itemProps3.xml><?xml version="1.0" encoding="utf-8"?>
<ds:datastoreItem xmlns:ds="http://schemas.openxmlformats.org/officeDocument/2006/customXml" ds:itemID="{F1329764-EFFF-49BA-9E2C-47FA82BDA1E8}">
  <ds:schemaRefs>
    <ds:schemaRef ds:uri="http://schemas.microsoft.com/sharepoint/v3/contenttype/forms"/>
  </ds:schemaRefs>
</ds:datastoreItem>
</file>

<file path=customXml/itemProps4.xml><?xml version="1.0" encoding="utf-8"?>
<ds:datastoreItem xmlns:ds="http://schemas.openxmlformats.org/officeDocument/2006/customXml" ds:itemID="{1799CE2E-6EFE-4989-BBDE-02990F337745}"/>
</file>

<file path=customXml/itemProps5.xml><?xml version="1.0" encoding="utf-8"?>
<ds:datastoreItem xmlns:ds="http://schemas.openxmlformats.org/officeDocument/2006/customXml" ds:itemID="{17B5B7D8-8E6A-41E3-A669-37E4718B83F8}">
  <ds:schemaRefs>
    <ds:schemaRef ds:uri="http://schemas.microsoft.com/office/infopath/2007/PartnerControls"/>
    <ds:schemaRef ds:uri="http://purl.org/dc/terms/"/>
    <ds:schemaRef ds:uri="87aa1843-8de0-4a0d-8f84-ba38364cedd3"/>
    <ds:schemaRef ds:uri="http://purl.org/dc/dcmitype/"/>
    <ds:schemaRef ds:uri="http://schemas.openxmlformats.org/package/2006/metadata/core-properties"/>
    <ds:schemaRef ds:uri="http://purl.org/dc/elements/1.1/"/>
    <ds:schemaRef ds:uri="http://schemas.microsoft.com/office/2006/documentManagement/types"/>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Maximum sponsor support</vt:lpstr>
      <vt:lpstr>Simplific. 1 Sponsor support</vt:lpstr>
      <vt:lpstr>Simplific. 2 Sponsor support</vt:lpstr>
      <vt:lpstr>Simplific. 3 Sponsor support</vt:lpstr>
      <vt:lpstr>Pension protection scheme</vt:lpstr>
      <vt:lpstr>'Simplific. 1 Sponsor support'!corr_a_l</vt:lpstr>
      <vt:lpstr>'Simplific. 1 Sponsor support'!FV_a</vt:lpstr>
      <vt:lpstr>FV_assets</vt:lpstr>
      <vt:lpstr>'Simplific. 1 Sponsor support'!FV_l</vt:lpstr>
      <vt:lpstr>FV_liabilities</vt:lpstr>
      <vt:lpstr>'Simplific. 1 Sponsor support'!gamma</vt:lpstr>
      <vt:lpstr>'Simplific. 1 Sponsor support'!n</vt:lpstr>
      <vt:lpstr>'Simplific. 1 Sponsor support'!p</vt:lpstr>
      <vt:lpstr>'Simplific. 1 Sponsor support'!p_exc</vt:lpstr>
      <vt:lpstr>rho</vt:lpstr>
      <vt:lpstr>'Simplific. 1 Sponsor support'!RSD_a</vt:lpstr>
      <vt:lpstr>'Simplific. 1 Sponsor support'!RSD_l</vt:lpstr>
      <vt:lpstr>'Simplific. 1 Sponsor support'!SS_max</vt:lpstr>
      <vt:lpstr>'Simplific. 1 Sponsor support'!SS_mean</vt:lpstr>
      <vt:lpstr>'Simplific. 1 Sponsor support'!SS_stdev</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Barthold Kuipers</dc:creator>
  <cp:lastModifiedBy>Sandra Hack</cp:lastModifiedBy>
  <cp:lastPrinted>2017-03-28T08:57:18Z</cp:lastPrinted>
  <dcterms:created xsi:type="dcterms:W3CDTF">2012-04-10T09:54:34Z</dcterms:created>
  <dcterms:modified xsi:type="dcterms:W3CDTF">2019-03-29T15:24:32Z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Involved Party">
    <vt:lpwstr/>
  </property>
  <property fmtid="{D5CDD505-2E9C-101B-9397-08002B2CF9AE}" pid="5" name="lf7ec453acb346f5b4feea7d032d6f2c">
    <vt:lpwstr>Quantitative impact studies|dbd56a31-1a4a-4078-ae18-dc8cb9fd1869</vt:lpwstr>
  </property>
  <property fmtid="{D5CDD505-2E9C-101B-9397-08002B2CF9AE}" pid="6" name="m4764fd034b84a6e893e168ee26c887c">
    <vt:lpwstr/>
  </property>
  <property fmtid="{D5CDD505-2E9C-101B-9397-08002B2CF9AE}" pid="7" name="Document Topic">
    <vt:lpwstr/>
  </property>
  <property fmtid="{D5CDD505-2E9C-101B-9397-08002B2CF9AE}" pid="8" name="Document Type">
    <vt:lpwstr>65;#Quantitative impact studies|dbd56a31-1a4a-4078-ae18-dc8cb9fd1869</vt:lpwstr>
  </property>
  <property fmtid="{D5CDD505-2E9C-101B-9397-08002B2CF9AE}" pid="9" name="obb4efe42ba0440ebcc21f478af52bc7">
    <vt:lpwstr/>
  </property>
  <property fmtid="{D5CDD505-2E9C-101B-9397-08002B2CF9AE}" pid="10" name="_AdHocReviewCycleID">
    <vt:i4>626766624</vt:i4>
  </property>
  <property fmtid="{D5CDD505-2E9C-101B-9397-08002B2CF9AE}" pid="11" name="_EmailSubject">
    <vt:lpwstr>Documents for tomorrow's publication</vt:lpwstr>
  </property>
  <property fmtid="{D5CDD505-2E9C-101B-9397-08002B2CF9AE}" pid="12" name="_AuthorEmail">
    <vt:lpwstr>Barthold.Kuipers@eiopa.europa.eu</vt:lpwstr>
  </property>
  <property fmtid="{D5CDD505-2E9C-101B-9397-08002B2CF9AE}" pid="13" name="_AuthorEmailDisplayName">
    <vt:lpwstr>Barthold Kuipers</vt:lpwstr>
  </property>
  <property fmtid="{D5CDD505-2E9C-101B-9397-08002B2CF9AE}" pid="14" name="_ReviewingToolsShownOnce">
    <vt:lpwstr/>
  </property>
  <property fmtid="{D5CDD505-2E9C-101B-9397-08002B2CF9AE}" pid="15" name="ERIS_Keywords">
    <vt:lpwstr>3;#Financial Stability|049b862d-b39b-44a2-9998-86d5f061724c;#6;#Stress Tests|310a71fb-0b6d-4cce-965f-02ba7f2cca49;#11;#Pensions|eef60d05-9a64-4d19-a843-387167e1c3bc</vt:lpwstr>
  </property>
  <property fmtid="{D5CDD505-2E9C-101B-9397-08002B2CF9AE}" pid="16" name="ERIS_Department">
    <vt:lpwstr>1;#Risks ＆ Financial Stability Department|364f0868-cf23-4007-af85-0c17c2d1b8b6</vt:lpwstr>
  </property>
  <property fmtid="{D5CDD505-2E9C-101B-9397-08002B2CF9AE}" pid="17" name="ERIS_DocumentType">
    <vt:lpwstr>58;#Technical Document|1a5bea9a-9455-4b42-9695-f3d22fbcc445</vt:lpwstr>
  </property>
  <property fmtid="{D5CDD505-2E9C-101B-9397-08002B2CF9AE}" pid="18" name="ERIS_Language">
    <vt:lpwstr>2;#English|2741a941-2920-4ba4-aa70-d8ed6ac1785d</vt:lpwstr>
  </property>
  <property fmtid="{D5CDD505-2E9C-101B-9397-08002B2CF9AE}" pid="19" name="RecordPoint_WorkflowType">
    <vt:lpwstr>ActiveSubmitStub</vt:lpwstr>
  </property>
  <property fmtid="{D5CDD505-2E9C-101B-9397-08002B2CF9AE}" pid="20" name="RecordPoint_ActiveItemWebId">
    <vt:lpwstr>{9c9d3f1c-d43e-412d-b5ba-25b99655e7b0}</vt:lpwstr>
  </property>
  <property fmtid="{D5CDD505-2E9C-101B-9397-08002B2CF9AE}" pid="21" name="RecordPoint_ActiveItemSiteId">
    <vt:lpwstr>{61999160-d9b8-4a87-bd5b-b288d02af9da}</vt:lpwstr>
  </property>
  <property fmtid="{D5CDD505-2E9C-101B-9397-08002B2CF9AE}" pid="22" name="RecordPoint_ActiveItemListId">
    <vt:lpwstr>{f8ddd6c2-a9a9-432a-8302-827cf0317077}</vt:lpwstr>
  </property>
  <property fmtid="{D5CDD505-2E9C-101B-9397-08002B2CF9AE}" pid="23" name="RecordPoint_ActiveItemUniqueId">
    <vt:lpwstr>{2c0b665f-7803-43e8-93ea-be267bc15b4a}</vt:lpwstr>
  </property>
  <property fmtid="{D5CDD505-2E9C-101B-9397-08002B2CF9AE}" pid="24" name="RecordPoint_SubmissionCompleted">
    <vt:lpwstr>2019-03-29T16:42:04.8738719+01:00</vt:lpwstr>
  </property>
  <property fmtid="{D5CDD505-2E9C-101B-9397-08002B2CF9AE}" pid="25" name="RecordPoint_RecordNumberSubmitted">
    <vt:lpwstr>EIOPA(2019)0020277</vt:lpwstr>
  </property>
  <property fmtid="{D5CDD505-2E9C-101B-9397-08002B2CF9AE}" pid="26" name="RecordPoint_SubmissionDate">
    <vt:lpwstr/>
  </property>
  <property fmtid="{D5CDD505-2E9C-101B-9397-08002B2CF9AE}" pid="27" name="RecordPoint_ActiveItemMoved">
    <vt:lpwstr/>
  </property>
  <property fmtid="{D5CDD505-2E9C-101B-9397-08002B2CF9AE}" pid="28" name="RecordPoint_RecordFormat">
    <vt:lpwstr/>
  </property>
</Properties>
</file>