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bookViews>
    <workbookView xWindow="0" yWindow="0" windowWidth="20265" windowHeight="7260" tabRatio="579"/>
  </bookViews>
  <sheets>
    <sheet name="Index" sheetId="48" r:id="rId1"/>
    <sheet name="Readme" sheetId="50" r:id="rId2"/>
    <sheet name="General inputs" sheetId="49" r:id="rId3"/>
    <sheet name="Balance sheet" sheetId="44" r:id="rId4"/>
    <sheet name="Discounted values" sheetId="51" r:id="rId5"/>
    <sheet name="Overview SRA" sheetId="42" r:id="rId6"/>
    <sheet name="Market risk" sheetId="45" r:id="rId7"/>
    <sheet name="Counterparty default risk" sheetId="47" r:id="rId8"/>
    <sheet name="Pension liability risk" sheetId="46" r:id="rId9"/>
    <sheet name="Intangible asset risk" sheetId="43" r:id="rId10"/>
    <sheet name="Operational risk" sheetId="41" r:id="rId11"/>
    <sheet name="Warnings" sheetId="52" r:id="rId12"/>
  </sheets>
  <externalReferences>
    <externalReference r:id="rId13"/>
  </externalReferences>
  <definedNames>
    <definedName name="Conc.AssetXL">'Market risk'!$C$9</definedName>
    <definedName name="Version">[1]P.Index!$D$1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2" i="44" l="1"/>
  <c r="C7" i="44"/>
  <c r="E3" i="51" l="1"/>
  <c r="E2" i="51"/>
  <c r="D5" i="52" s="1"/>
  <c r="C5" i="52" s="1"/>
  <c r="I73" i="45"/>
  <c r="D9" i="52" s="1"/>
  <c r="C9" i="52" s="1"/>
  <c r="D6" i="52"/>
  <c r="C6" i="52" s="1"/>
  <c r="D122" i="46"/>
  <c r="D17" i="52" s="1"/>
  <c r="C17" i="52" s="1"/>
  <c r="D112" i="46"/>
  <c r="D16" i="52" s="1"/>
  <c r="C16" i="52" s="1"/>
  <c r="D102" i="46"/>
  <c r="D15" i="52" s="1"/>
  <c r="C15" i="52" s="1"/>
  <c r="D92" i="46"/>
  <c r="D14" i="52" s="1"/>
  <c r="C14" i="52" s="1"/>
  <c r="C92" i="46"/>
  <c r="D77" i="46"/>
  <c r="D13" i="52" s="1"/>
  <c r="C13" i="52" s="1"/>
  <c r="D55" i="46"/>
  <c r="D11" i="52" s="1"/>
  <c r="C11" i="52" s="1"/>
  <c r="Z160" i="51"/>
  <c r="Y160" i="51"/>
  <c r="X160" i="51"/>
  <c r="W160" i="51"/>
  <c r="V160" i="51"/>
  <c r="Z159" i="51"/>
  <c r="Y159" i="51"/>
  <c r="X159" i="51"/>
  <c r="W159" i="51"/>
  <c r="V159" i="51"/>
  <c r="Z158" i="51"/>
  <c r="Y158" i="51"/>
  <c r="X158" i="51"/>
  <c r="W158" i="51"/>
  <c r="V158" i="51"/>
  <c r="Z157" i="51"/>
  <c r="Y157" i="51"/>
  <c r="X157" i="51"/>
  <c r="W157" i="51"/>
  <c r="V157" i="51"/>
  <c r="Z156" i="51"/>
  <c r="Y156" i="51"/>
  <c r="X156" i="51"/>
  <c r="W156" i="51"/>
  <c r="V156" i="51"/>
  <c r="Z155" i="51"/>
  <c r="Y155" i="51"/>
  <c r="X155" i="51"/>
  <c r="W155" i="51"/>
  <c r="V155" i="51"/>
  <c r="Z154" i="51"/>
  <c r="Y154" i="51"/>
  <c r="X154" i="51"/>
  <c r="W154" i="51"/>
  <c r="V154" i="51"/>
  <c r="Z153" i="51"/>
  <c r="Y153" i="51"/>
  <c r="X153" i="51"/>
  <c r="W153" i="51"/>
  <c r="V153" i="51"/>
  <c r="Z152" i="51"/>
  <c r="Y152" i="51"/>
  <c r="X152" i="51"/>
  <c r="W152" i="51"/>
  <c r="V152" i="51"/>
  <c r="Z151" i="51"/>
  <c r="Y151" i="51"/>
  <c r="X151" i="51"/>
  <c r="W151" i="51"/>
  <c r="V151" i="51"/>
  <c r="Z150" i="51"/>
  <c r="Y150" i="51"/>
  <c r="X150" i="51"/>
  <c r="W150" i="51"/>
  <c r="V150" i="51"/>
  <c r="Z149" i="51"/>
  <c r="Y149" i="51"/>
  <c r="X149" i="51"/>
  <c r="W149" i="51"/>
  <c r="V149" i="51"/>
  <c r="Z148" i="51"/>
  <c r="Y148" i="51"/>
  <c r="X148" i="51"/>
  <c r="W148" i="51"/>
  <c r="V148" i="51"/>
  <c r="Z147" i="51"/>
  <c r="Y147" i="51"/>
  <c r="X147" i="51"/>
  <c r="W147" i="51"/>
  <c r="V147" i="51"/>
  <c r="Z146" i="51"/>
  <c r="Y146" i="51"/>
  <c r="X146" i="51"/>
  <c r="W146" i="51"/>
  <c r="V146" i="51"/>
  <c r="Z145" i="51"/>
  <c r="Y145" i="51"/>
  <c r="X145" i="51"/>
  <c r="W145" i="51"/>
  <c r="V145" i="51"/>
  <c r="Z144" i="51"/>
  <c r="Y144" i="51"/>
  <c r="X144" i="51"/>
  <c r="W144" i="51"/>
  <c r="V144" i="51"/>
  <c r="Z143" i="51"/>
  <c r="Y143" i="51"/>
  <c r="X143" i="51"/>
  <c r="W143" i="51"/>
  <c r="V143" i="51"/>
  <c r="Z142" i="51"/>
  <c r="Y142" i="51"/>
  <c r="X142" i="51"/>
  <c r="W142" i="51"/>
  <c r="V142" i="51"/>
  <c r="Z141" i="51"/>
  <c r="Y141" i="51"/>
  <c r="X141" i="51"/>
  <c r="W141" i="51"/>
  <c r="V141" i="51"/>
  <c r="Z140" i="51"/>
  <c r="Y140" i="51"/>
  <c r="X140" i="51"/>
  <c r="W140" i="51"/>
  <c r="V140" i="51"/>
  <c r="Z139" i="51"/>
  <c r="Y139" i="51"/>
  <c r="X139" i="51"/>
  <c r="W139" i="51"/>
  <c r="V139" i="51"/>
  <c r="Z138" i="51"/>
  <c r="Y138" i="51"/>
  <c r="X138" i="51"/>
  <c r="W138" i="51"/>
  <c r="V138" i="51"/>
  <c r="Z137" i="51"/>
  <c r="Y137" i="51"/>
  <c r="X137" i="51"/>
  <c r="W137" i="51"/>
  <c r="V137" i="51"/>
  <c r="Z136" i="51"/>
  <c r="Y136" i="51"/>
  <c r="X136" i="51"/>
  <c r="W136" i="51"/>
  <c r="V136" i="51"/>
  <c r="Z135" i="51"/>
  <c r="Y135" i="51"/>
  <c r="X135" i="51"/>
  <c r="W135" i="51"/>
  <c r="V135" i="51"/>
  <c r="Z134" i="51"/>
  <c r="Y134" i="51"/>
  <c r="X134" i="51"/>
  <c r="W134" i="51"/>
  <c r="V134" i="51"/>
  <c r="Z133" i="51"/>
  <c r="Y133" i="51"/>
  <c r="X133" i="51"/>
  <c r="W133" i="51"/>
  <c r="V133" i="51"/>
  <c r="Z132" i="51"/>
  <c r="Y132" i="51"/>
  <c r="X132" i="51"/>
  <c r="W132" i="51"/>
  <c r="V132" i="51"/>
  <c r="Z131" i="51"/>
  <c r="Y131" i="51"/>
  <c r="X131" i="51"/>
  <c r="W131" i="51"/>
  <c r="V131" i="51"/>
  <c r="Z130" i="51"/>
  <c r="Y130" i="51"/>
  <c r="X130" i="51"/>
  <c r="W130" i="51"/>
  <c r="V130" i="51"/>
  <c r="Z129" i="51"/>
  <c r="Y129" i="51"/>
  <c r="X129" i="51"/>
  <c r="W129" i="51"/>
  <c r="V129" i="51"/>
  <c r="Z128" i="51"/>
  <c r="Y128" i="51"/>
  <c r="X128" i="51"/>
  <c r="W128" i="51"/>
  <c r="V128" i="51"/>
  <c r="Z127" i="51"/>
  <c r="Y127" i="51"/>
  <c r="X127" i="51"/>
  <c r="W127" i="51"/>
  <c r="V127" i="51"/>
  <c r="Z126" i="51"/>
  <c r="Y126" i="51"/>
  <c r="X126" i="51"/>
  <c r="W126" i="51"/>
  <c r="V126" i="51"/>
  <c r="Z125" i="51"/>
  <c r="Y125" i="51"/>
  <c r="X125" i="51"/>
  <c r="W125" i="51"/>
  <c r="V125" i="51"/>
  <c r="Z124" i="51"/>
  <c r="Y124" i="51"/>
  <c r="X124" i="51"/>
  <c r="W124" i="51"/>
  <c r="V124" i="51"/>
  <c r="Z123" i="51"/>
  <c r="Y123" i="51"/>
  <c r="X123" i="51"/>
  <c r="W123" i="51"/>
  <c r="V123" i="51"/>
  <c r="Z122" i="51"/>
  <c r="Y122" i="51"/>
  <c r="X122" i="51"/>
  <c r="W122" i="51"/>
  <c r="V122" i="51"/>
  <c r="Z121" i="51"/>
  <c r="Y121" i="51"/>
  <c r="X121" i="51"/>
  <c r="W121" i="51"/>
  <c r="V121" i="51"/>
  <c r="Z120" i="51"/>
  <c r="Y120" i="51"/>
  <c r="X120" i="51"/>
  <c r="W120" i="51"/>
  <c r="V120" i="51"/>
  <c r="Z119" i="51"/>
  <c r="Y119" i="51"/>
  <c r="X119" i="51"/>
  <c r="W119" i="51"/>
  <c r="V119" i="51"/>
  <c r="Z118" i="51"/>
  <c r="Y118" i="51"/>
  <c r="X118" i="51"/>
  <c r="W118" i="51"/>
  <c r="V118" i="51"/>
  <c r="Z117" i="51"/>
  <c r="Y117" i="51"/>
  <c r="X117" i="51"/>
  <c r="W117" i="51"/>
  <c r="V117" i="51"/>
  <c r="Z116" i="51"/>
  <c r="Y116" i="51"/>
  <c r="X116" i="51"/>
  <c r="W116" i="51"/>
  <c r="V116" i="51"/>
  <c r="Z115" i="51"/>
  <c r="Y115" i="51"/>
  <c r="X115" i="51"/>
  <c r="W115" i="51"/>
  <c r="V115" i="51"/>
  <c r="Z114" i="51"/>
  <c r="Y114" i="51"/>
  <c r="X114" i="51"/>
  <c r="W114" i="51"/>
  <c r="V114" i="51"/>
  <c r="Z113" i="51"/>
  <c r="Y113" i="51"/>
  <c r="X113" i="51"/>
  <c r="W113" i="51"/>
  <c r="V113" i="51"/>
  <c r="Z112" i="51"/>
  <c r="Y112" i="51"/>
  <c r="X112" i="51"/>
  <c r="W112" i="51"/>
  <c r="V112" i="51"/>
  <c r="Z111" i="51"/>
  <c r="Y111" i="51"/>
  <c r="X111" i="51"/>
  <c r="W111" i="51"/>
  <c r="V111" i="51"/>
  <c r="Z110" i="51"/>
  <c r="Y110" i="51"/>
  <c r="X110" i="51"/>
  <c r="W110" i="51"/>
  <c r="V110" i="51"/>
  <c r="Z109" i="51"/>
  <c r="Y109" i="51"/>
  <c r="X109" i="51"/>
  <c r="W109" i="51"/>
  <c r="V109" i="51"/>
  <c r="Z108" i="51"/>
  <c r="Y108" i="51"/>
  <c r="X108" i="51"/>
  <c r="W108" i="51"/>
  <c r="V108" i="51"/>
  <c r="Z107" i="51"/>
  <c r="Y107" i="51"/>
  <c r="X107" i="51"/>
  <c r="W107" i="51"/>
  <c r="V107" i="51"/>
  <c r="Z106" i="51"/>
  <c r="Y106" i="51"/>
  <c r="X106" i="51"/>
  <c r="W106" i="51"/>
  <c r="V106" i="51"/>
  <c r="Z105" i="51"/>
  <c r="Y105" i="51"/>
  <c r="X105" i="51"/>
  <c r="W105" i="51"/>
  <c r="V105" i="51"/>
  <c r="Z104" i="51"/>
  <c r="Y104" i="51"/>
  <c r="X104" i="51"/>
  <c r="W104" i="51"/>
  <c r="V104" i="51"/>
  <c r="Z103" i="51"/>
  <c r="Y103" i="51"/>
  <c r="X103" i="51"/>
  <c r="W103" i="51"/>
  <c r="V103" i="51"/>
  <c r="Z102" i="51"/>
  <c r="Y102" i="51"/>
  <c r="X102" i="51"/>
  <c r="W102" i="51"/>
  <c r="V102" i="51"/>
  <c r="Z101" i="51"/>
  <c r="Y101" i="51"/>
  <c r="X101" i="51"/>
  <c r="W101" i="51"/>
  <c r="V101" i="51"/>
  <c r="Z100" i="51"/>
  <c r="Y100" i="51"/>
  <c r="X100" i="51"/>
  <c r="W100" i="51"/>
  <c r="V100" i="51"/>
  <c r="Z99" i="51"/>
  <c r="Y99" i="51"/>
  <c r="X99" i="51"/>
  <c r="W99" i="51"/>
  <c r="V99" i="51"/>
  <c r="Z98" i="51"/>
  <c r="Y98" i="51"/>
  <c r="X98" i="51"/>
  <c r="W98" i="51"/>
  <c r="V98" i="51"/>
  <c r="Z97" i="51"/>
  <c r="Y97" i="51"/>
  <c r="X97" i="51"/>
  <c r="W97" i="51"/>
  <c r="V97" i="51"/>
  <c r="Z96" i="51"/>
  <c r="Y96" i="51"/>
  <c r="X96" i="51"/>
  <c r="W96" i="51"/>
  <c r="V96" i="51"/>
  <c r="Z95" i="51"/>
  <c r="Y95" i="51"/>
  <c r="X95" i="51"/>
  <c r="W95" i="51"/>
  <c r="V95" i="51"/>
  <c r="Z94" i="51"/>
  <c r="Y94" i="51"/>
  <c r="X94" i="51"/>
  <c r="W94" i="51"/>
  <c r="V94" i="51"/>
  <c r="Z93" i="51"/>
  <c r="Y93" i="51"/>
  <c r="X93" i="51"/>
  <c r="W93" i="51"/>
  <c r="V93" i="51"/>
  <c r="Z92" i="51"/>
  <c r="Y92" i="51"/>
  <c r="X92" i="51"/>
  <c r="W92" i="51"/>
  <c r="V92" i="51"/>
  <c r="Z91" i="51"/>
  <c r="Y91" i="51"/>
  <c r="X91" i="51"/>
  <c r="W91" i="51"/>
  <c r="V91" i="51"/>
  <c r="Z90" i="51"/>
  <c r="Y90" i="51"/>
  <c r="X90" i="51"/>
  <c r="W90" i="51"/>
  <c r="V90" i="51"/>
  <c r="Z89" i="51"/>
  <c r="Y89" i="51"/>
  <c r="X89" i="51"/>
  <c r="W89" i="51"/>
  <c r="V89" i="51"/>
  <c r="Z88" i="51"/>
  <c r="Y88" i="51"/>
  <c r="X88" i="51"/>
  <c r="W88" i="51"/>
  <c r="V88" i="51"/>
  <c r="Z87" i="51"/>
  <c r="Y87" i="51"/>
  <c r="X87" i="51"/>
  <c r="W87" i="51"/>
  <c r="V87" i="51"/>
  <c r="Z86" i="51"/>
  <c r="Y86" i="51"/>
  <c r="X86" i="51"/>
  <c r="W86" i="51"/>
  <c r="V86" i="51"/>
  <c r="Z85" i="51"/>
  <c r="Y85" i="51"/>
  <c r="X85" i="51"/>
  <c r="W85" i="51"/>
  <c r="V85" i="51"/>
  <c r="Z84" i="51"/>
  <c r="Y84" i="51"/>
  <c r="X84" i="51"/>
  <c r="W84" i="51"/>
  <c r="V84" i="51"/>
  <c r="Z83" i="51"/>
  <c r="Y83" i="51"/>
  <c r="X83" i="51"/>
  <c r="W83" i="51"/>
  <c r="V83" i="51"/>
  <c r="Z82" i="51"/>
  <c r="Y82" i="51"/>
  <c r="X82" i="51"/>
  <c r="W82" i="51"/>
  <c r="V82" i="51"/>
  <c r="Z81" i="51"/>
  <c r="Y81" i="51"/>
  <c r="X81" i="51"/>
  <c r="W81" i="51"/>
  <c r="V81" i="51"/>
  <c r="Z80" i="51"/>
  <c r="Y80" i="51"/>
  <c r="X80" i="51"/>
  <c r="W80" i="51"/>
  <c r="V80" i="51"/>
  <c r="Z79" i="51"/>
  <c r="Y79" i="51"/>
  <c r="X79" i="51"/>
  <c r="W79" i="51"/>
  <c r="V79" i="51"/>
  <c r="Z78" i="51"/>
  <c r="Y78" i="51"/>
  <c r="X78" i="51"/>
  <c r="W78" i="51"/>
  <c r="V78" i="51"/>
  <c r="Z77" i="51"/>
  <c r="Y77" i="51"/>
  <c r="X77" i="51"/>
  <c r="W77" i="51"/>
  <c r="V77" i="51"/>
  <c r="Z76" i="51"/>
  <c r="Y76" i="51"/>
  <c r="X76" i="51"/>
  <c r="W76" i="51"/>
  <c r="V76" i="51"/>
  <c r="Z75" i="51"/>
  <c r="Y75" i="51"/>
  <c r="X75" i="51"/>
  <c r="W75" i="51"/>
  <c r="V75" i="51"/>
  <c r="Z74" i="51"/>
  <c r="Y74" i="51"/>
  <c r="X74" i="51"/>
  <c r="W74" i="51"/>
  <c r="V74" i="51"/>
  <c r="Z73" i="51"/>
  <c r="Y73" i="51"/>
  <c r="X73" i="51"/>
  <c r="W73" i="51"/>
  <c r="V73" i="51"/>
  <c r="Z72" i="51"/>
  <c r="Y72" i="51"/>
  <c r="X72" i="51"/>
  <c r="W72" i="51"/>
  <c r="V72" i="51"/>
  <c r="Z71" i="51"/>
  <c r="Y71" i="51"/>
  <c r="X71" i="51"/>
  <c r="W71" i="51"/>
  <c r="V71" i="51"/>
  <c r="Z70" i="51"/>
  <c r="Y70" i="51"/>
  <c r="X70" i="51"/>
  <c r="W70" i="51"/>
  <c r="V70" i="51"/>
  <c r="Z69" i="51"/>
  <c r="Y69" i="51"/>
  <c r="X69" i="51"/>
  <c r="W69" i="51"/>
  <c r="V69" i="51"/>
  <c r="Z68" i="51"/>
  <c r="Y68" i="51"/>
  <c r="X68" i="51"/>
  <c r="W68" i="51"/>
  <c r="V68" i="51"/>
  <c r="Z67" i="51"/>
  <c r="Y67" i="51"/>
  <c r="X67" i="51"/>
  <c r="W67" i="51"/>
  <c r="V67" i="51"/>
  <c r="Z66" i="51"/>
  <c r="Y66" i="51"/>
  <c r="X66" i="51"/>
  <c r="W66" i="51"/>
  <c r="V66" i="51"/>
  <c r="Z65" i="51"/>
  <c r="Y65" i="51"/>
  <c r="X65" i="51"/>
  <c r="W65" i="51"/>
  <c r="V65" i="51"/>
  <c r="Z64" i="51"/>
  <c r="Y64" i="51"/>
  <c r="X64" i="51"/>
  <c r="W64" i="51"/>
  <c r="V64" i="51"/>
  <c r="Z63" i="51"/>
  <c r="Y63" i="51"/>
  <c r="X63" i="51"/>
  <c r="W63" i="51"/>
  <c r="V63" i="51"/>
  <c r="Z62" i="51"/>
  <c r="Y62" i="51"/>
  <c r="X62" i="51"/>
  <c r="W62" i="51"/>
  <c r="V62" i="51"/>
  <c r="Z61" i="51"/>
  <c r="Y61" i="51"/>
  <c r="X61" i="51"/>
  <c r="W61" i="51"/>
  <c r="V61" i="51"/>
  <c r="Z60" i="51"/>
  <c r="Y60" i="51"/>
  <c r="X60" i="51"/>
  <c r="W60" i="51"/>
  <c r="V60" i="51"/>
  <c r="Z59" i="51"/>
  <c r="Y59" i="51"/>
  <c r="X59" i="51"/>
  <c r="W59" i="51"/>
  <c r="V59" i="51"/>
  <c r="Z58" i="51"/>
  <c r="Y58" i="51"/>
  <c r="X58" i="51"/>
  <c r="W58" i="51"/>
  <c r="V58" i="51"/>
  <c r="Z57" i="51"/>
  <c r="Y57" i="51"/>
  <c r="X57" i="51"/>
  <c r="W57" i="51"/>
  <c r="V57" i="51"/>
  <c r="Z56" i="51"/>
  <c r="Y56" i="51"/>
  <c r="X56" i="51"/>
  <c r="W56" i="51"/>
  <c r="V56" i="51"/>
  <c r="Z55" i="51"/>
  <c r="Y55" i="51"/>
  <c r="X55" i="51"/>
  <c r="W55" i="51"/>
  <c r="V55" i="51"/>
  <c r="Z54" i="51"/>
  <c r="Y54" i="51"/>
  <c r="X54" i="51"/>
  <c r="W54" i="51"/>
  <c r="V54" i="51"/>
  <c r="Z53" i="51"/>
  <c r="Y53" i="51"/>
  <c r="X53" i="51"/>
  <c r="W53" i="51"/>
  <c r="V53" i="51"/>
  <c r="Z52" i="51"/>
  <c r="Y52" i="51"/>
  <c r="X52" i="51"/>
  <c r="W52" i="51"/>
  <c r="V52" i="51"/>
  <c r="Z51" i="51"/>
  <c r="Y51" i="51"/>
  <c r="X51" i="51"/>
  <c r="W51" i="51"/>
  <c r="V51" i="51"/>
  <c r="Z50" i="51"/>
  <c r="Y50" i="51"/>
  <c r="X50" i="51"/>
  <c r="W50" i="51"/>
  <c r="V50" i="51"/>
  <c r="Z49" i="51"/>
  <c r="Y49" i="51"/>
  <c r="X49" i="51"/>
  <c r="W49" i="51"/>
  <c r="V49" i="51"/>
  <c r="Z48" i="51"/>
  <c r="Y48" i="51"/>
  <c r="X48" i="51"/>
  <c r="W48" i="51"/>
  <c r="V48" i="51"/>
  <c r="Z47" i="51"/>
  <c r="Y47" i="51"/>
  <c r="X47" i="51"/>
  <c r="W47" i="51"/>
  <c r="V47" i="51"/>
  <c r="Z46" i="51"/>
  <c r="Y46" i="51"/>
  <c r="X46" i="51"/>
  <c r="W46" i="51"/>
  <c r="V46" i="51"/>
  <c r="Z45" i="51"/>
  <c r="Y45" i="51"/>
  <c r="X45" i="51"/>
  <c r="W45" i="51"/>
  <c r="V45" i="51"/>
  <c r="Z44" i="51"/>
  <c r="Y44" i="51"/>
  <c r="X44" i="51"/>
  <c r="W44" i="51"/>
  <c r="V44" i="51"/>
  <c r="Z43" i="51"/>
  <c r="Y43" i="51"/>
  <c r="X43" i="51"/>
  <c r="W43" i="51"/>
  <c r="V43" i="51"/>
  <c r="Z42" i="51"/>
  <c r="Y42" i="51"/>
  <c r="X42" i="51"/>
  <c r="W42" i="51"/>
  <c r="V42" i="51"/>
  <c r="Z41" i="51"/>
  <c r="Y41" i="51"/>
  <c r="X41" i="51"/>
  <c r="W41" i="51"/>
  <c r="V41" i="51"/>
  <c r="Z40" i="51"/>
  <c r="Y40" i="51"/>
  <c r="X40" i="51"/>
  <c r="W40" i="51"/>
  <c r="V40" i="51"/>
  <c r="Z39" i="51"/>
  <c r="Y39" i="51"/>
  <c r="X39" i="51"/>
  <c r="W39" i="51"/>
  <c r="V39" i="51"/>
  <c r="Z38" i="51"/>
  <c r="Y38" i="51"/>
  <c r="X38" i="51"/>
  <c r="W38" i="51"/>
  <c r="V38" i="51"/>
  <c r="Z37" i="51"/>
  <c r="Y37" i="51"/>
  <c r="X37" i="51"/>
  <c r="W37" i="51"/>
  <c r="V37" i="51"/>
  <c r="Z36" i="51"/>
  <c r="Y36" i="51"/>
  <c r="X36" i="51"/>
  <c r="W36" i="51"/>
  <c r="V36" i="51"/>
  <c r="Z35" i="51"/>
  <c r="Y35" i="51"/>
  <c r="X35" i="51"/>
  <c r="W35" i="51"/>
  <c r="V35" i="51"/>
  <c r="Z34" i="51"/>
  <c r="Y34" i="51"/>
  <c r="X34" i="51"/>
  <c r="W34" i="51"/>
  <c r="V34" i="51"/>
  <c r="Z33" i="51"/>
  <c r="Y33" i="51"/>
  <c r="X33" i="51"/>
  <c r="W33" i="51"/>
  <c r="V33" i="51"/>
  <c r="Z32" i="51"/>
  <c r="Y32" i="51"/>
  <c r="X32" i="51"/>
  <c r="W32" i="51"/>
  <c r="V32" i="51"/>
  <c r="Z31" i="51"/>
  <c r="Y31" i="51"/>
  <c r="X31" i="51"/>
  <c r="W31" i="51"/>
  <c r="V31" i="51"/>
  <c r="Z30" i="51"/>
  <c r="Y30" i="51"/>
  <c r="X30" i="51"/>
  <c r="W30" i="51"/>
  <c r="V30" i="51"/>
  <c r="Z29" i="51"/>
  <c r="Y29" i="51"/>
  <c r="X29" i="51"/>
  <c r="W29" i="51"/>
  <c r="V29" i="51"/>
  <c r="Z28" i="51"/>
  <c r="Y28" i="51"/>
  <c r="X28" i="51"/>
  <c r="W28" i="51"/>
  <c r="V28" i="51"/>
  <c r="Z27" i="51"/>
  <c r="Y27" i="51"/>
  <c r="X27" i="51"/>
  <c r="W27" i="51"/>
  <c r="V27" i="51"/>
  <c r="Z26" i="51"/>
  <c r="Y26" i="51"/>
  <c r="X26" i="51"/>
  <c r="W26" i="51"/>
  <c r="V26" i="51"/>
  <c r="Z25" i="51"/>
  <c r="Y25" i="51"/>
  <c r="X25" i="51"/>
  <c r="W25" i="51"/>
  <c r="V25" i="51"/>
  <c r="Z24" i="51"/>
  <c r="Y24" i="51"/>
  <c r="X24" i="51"/>
  <c r="W24" i="51"/>
  <c r="V24" i="51"/>
  <c r="Z23" i="51"/>
  <c r="Y23" i="51"/>
  <c r="X23" i="51"/>
  <c r="W23" i="51"/>
  <c r="V23" i="51"/>
  <c r="Z22" i="51"/>
  <c r="Y22" i="51"/>
  <c r="X22" i="51"/>
  <c r="W22" i="51"/>
  <c r="V22" i="51"/>
  <c r="Z21" i="51"/>
  <c r="Y21" i="51"/>
  <c r="X21" i="51"/>
  <c r="W21" i="51"/>
  <c r="V21" i="51"/>
  <c r="Z20" i="51"/>
  <c r="Y20" i="51"/>
  <c r="X20" i="51"/>
  <c r="W20" i="51"/>
  <c r="V20" i="51"/>
  <c r="Z19" i="51"/>
  <c r="Y19" i="51"/>
  <c r="X19" i="51"/>
  <c r="W19" i="51"/>
  <c r="V19" i="51"/>
  <c r="Z18" i="51"/>
  <c r="Y18" i="51"/>
  <c r="X18" i="51"/>
  <c r="W18" i="51"/>
  <c r="V18" i="51"/>
  <c r="Z17" i="51"/>
  <c r="Y17" i="51"/>
  <c r="X17" i="51"/>
  <c r="W17" i="51"/>
  <c r="V17" i="51"/>
  <c r="Z16" i="51"/>
  <c r="Y16" i="51"/>
  <c r="X16" i="51"/>
  <c r="W16" i="51"/>
  <c r="V16" i="51"/>
  <c r="Z15" i="51"/>
  <c r="Y15" i="51"/>
  <c r="X15" i="51"/>
  <c r="W15" i="51"/>
  <c r="V15" i="51"/>
  <c r="Z14" i="51"/>
  <c r="Y14" i="51"/>
  <c r="X14" i="51"/>
  <c r="W14" i="51"/>
  <c r="V14" i="51"/>
  <c r="Z13" i="51"/>
  <c r="Y13" i="51"/>
  <c r="X13" i="51"/>
  <c r="W13" i="51"/>
  <c r="V13" i="51"/>
  <c r="Z12" i="51"/>
  <c r="Y12" i="51"/>
  <c r="X12" i="51"/>
  <c r="W12" i="51"/>
  <c r="V12" i="51"/>
  <c r="Z11" i="51"/>
  <c r="Y11" i="51"/>
  <c r="X11" i="51"/>
  <c r="W11" i="51"/>
  <c r="V11" i="51"/>
  <c r="T160" i="51"/>
  <c r="S160" i="51"/>
  <c r="R160" i="51"/>
  <c r="Q160" i="51"/>
  <c r="P160" i="51"/>
  <c r="O160" i="51"/>
  <c r="T159" i="51"/>
  <c r="S159" i="51"/>
  <c r="R159" i="51"/>
  <c r="Q159" i="51"/>
  <c r="P159" i="51"/>
  <c r="O159" i="51"/>
  <c r="T158" i="51"/>
  <c r="S158" i="51"/>
  <c r="R158" i="51"/>
  <c r="Q158" i="51"/>
  <c r="P158" i="51"/>
  <c r="O158" i="51"/>
  <c r="T157" i="51"/>
  <c r="S157" i="51"/>
  <c r="R157" i="51"/>
  <c r="Q157" i="51"/>
  <c r="P157" i="51"/>
  <c r="O157" i="51"/>
  <c r="T156" i="51"/>
  <c r="S156" i="51"/>
  <c r="R156" i="51"/>
  <c r="Q156" i="51"/>
  <c r="P156" i="51"/>
  <c r="O156" i="51"/>
  <c r="T155" i="51"/>
  <c r="S155" i="51"/>
  <c r="R155" i="51"/>
  <c r="Q155" i="51"/>
  <c r="P155" i="51"/>
  <c r="O155" i="51"/>
  <c r="T154" i="51"/>
  <c r="S154" i="51"/>
  <c r="R154" i="51"/>
  <c r="Q154" i="51"/>
  <c r="P154" i="51"/>
  <c r="O154" i="51"/>
  <c r="T153" i="51"/>
  <c r="S153" i="51"/>
  <c r="R153" i="51"/>
  <c r="Q153" i="51"/>
  <c r="P153" i="51"/>
  <c r="O153" i="51"/>
  <c r="T152" i="51"/>
  <c r="S152" i="51"/>
  <c r="R152" i="51"/>
  <c r="Q152" i="51"/>
  <c r="P152" i="51"/>
  <c r="O152" i="51"/>
  <c r="T151" i="51"/>
  <c r="S151" i="51"/>
  <c r="R151" i="51"/>
  <c r="Q151" i="51"/>
  <c r="P151" i="51"/>
  <c r="O151" i="51"/>
  <c r="T150" i="51"/>
  <c r="S150" i="51"/>
  <c r="R150" i="51"/>
  <c r="Q150" i="51"/>
  <c r="P150" i="51"/>
  <c r="O150" i="51"/>
  <c r="T149" i="51"/>
  <c r="S149" i="51"/>
  <c r="R149" i="51"/>
  <c r="Q149" i="51"/>
  <c r="P149" i="51"/>
  <c r="O149" i="51"/>
  <c r="T148" i="51"/>
  <c r="S148" i="51"/>
  <c r="R148" i="51"/>
  <c r="Q148" i="51"/>
  <c r="P148" i="51"/>
  <c r="O148" i="51"/>
  <c r="T147" i="51"/>
  <c r="S147" i="51"/>
  <c r="R147" i="51"/>
  <c r="Q147" i="51"/>
  <c r="P147" i="51"/>
  <c r="O147" i="51"/>
  <c r="T146" i="51"/>
  <c r="S146" i="51"/>
  <c r="R146" i="51"/>
  <c r="Q146" i="51"/>
  <c r="P146" i="51"/>
  <c r="O146" i="51"/>
  <c r="T145" i="51"/>
  <c r="S145" i="51"/>
  <c r="R145" i="51"/>
  <c r="Q145" i="51"/>
  <c r="P145" i="51"/>
  <c r="O145" i="51"/>
  <c r="T144" i="51"/>
  <c r="S144" i="51"/>
  <c r="R144" i="51"/>
  <c r="Q144" i="51"/>
  <c r="P144" i="51"/>
  <c r="O144" i="51"/>
  <c r="T143" i="51"/>
  <c r="S143" i="51"/>
  <c r="R143" i="51"/>
  <c r="Q143" i="51"/>
  <c r="P143" i="51"/>
  <c r="O143" i="51"/>
  <c r="T142" i="51"/>
  <c r="S142" i="51"/>
  <c r="R142" i="51"/>
  <c r="Q142" i="51"/>
  <c r="P142" i="51"/>
  <c r="O142" i="51"/>
  <c r="T141" i="51"/>
  <c r="S141" i="51"/>
  <c r="R141" i="51"/>
  <c r="Q141" i="51"/>
  <c r="P141" i="51"/>
  <c r="O141" i="51"/>
  <c r="T140" i="51"/>
  <c r="S140" i="51"/>
  <c r="R140" i="51"/>
  <c r="Q140" i="51"/>
  <c r="P140" i="51"/>
  <c r="O140" i="51"/>
  <c r="T139" i="51"/>
  <c r="S139" i="51"/>
  <c r="R139" i="51"/>
  <c r="Q139" i="51"/>
  <c r="P139" i="51"/>
  <c r="O139" i="51"/>
  <c r="T138" i="51"/>
  <c r="S138" i="51"/>
  <c r="R138" i="51"/>
  <c r="Q138" i="51"/>
  <c r="P138" i="51"/>
  <c r="O138" i="51"/>
  <c r="T137" i="51"/>
  <c r="S137" i="51"/>
  <c r="R137" i="51"/>
  <c r="Q137" i="51"/>
  <c r="P137" i="51"/>
  <c r="O137" i="51"/>
  <c r="T136" i="51"/>
  <c r="S136" i="51"/>
  <c r="R136" i="51"/>
  <c r="Q136" i="51"/>
  <c r="P136" i="51"/>
  <c r="O136" i="51"/>
  <c r="T135" i="51"/>
  <c r="S135" i="51"/>
  <c r="R135" i="51"/>
  <c r="Q135" i="51"/>
  <c r="P135" i="51"/>
  <c r="O135" i="51"/>
  <c r="T134" i="51"/>
  <c r="S134" i="51"/>
  <c r="R134" i="51"/>
  <c r="Q134" i="51"/>
  <c r="P134" i="51"/>
  <c r="O134" i="51"/>
  <c r="T133" i="51"/>
  <c r="S133" i="51"/>
  <c r="R133" i="51"/>
  <c r="Q133" i="51"/>
  <c r="P133" i="51"/>
  <c r="O133" i="51"/>
  <c r="T132" i="51"/>
  <c r="S132" i="51"/>
  <c r="R132" i="51"/>
  <c r="Q132" i="51"/>
  <c r="P132" i="51"/>
  <c r="O132" i="51"/>
  <c r="T131" i="51"/>
  <c r="S131" i="51"/>
  <c r="R131" i="51"/>
  <c r="Q131" i="51"/>
  <c r="P131" i="51"/>
  <c r="O131" i="51"/>
  <c r="T130" i="51"/>
  <c r="S130" i="51"/>
  <c r="R130" i="51"/>
  <c r="Q130" i="51"/>
  <c r="P130" i="51"/>
  <c r="O130" i="51"/>
  <c r="T129" i="51"/>
  <c r="S129" i="51"/>
  <c r="R129" i="51"/>
  <c r="Q129" i="51"/>
  <c r="P129" i="51"/>
  <c r="O129" i="51"/>
  <c r="T128" i="51"/>
  <c r="S128" i="51"/>
  <c r="R128" i="51"/>
  <c r="Q128" i="51"/>
  <c r="P128" i="51"/>
  <c r="O128" i="51"/>
  <c r="T127" i="51"/>
  <c r="S127" i="51"/>
  <c r="R127" i="51"/>
  <c r="Q127" i="51"/>
  <c r="P127" i="51"/>
  <c r="O127" i="51"/>
  <c r="T126" i="51"/>
  <c r="S126" i="51"/>
  <c r="R126" i="51"/>
  <c r="Q126" i="51"/>
  <c r="P126" i="51"/>
  <c r="O126" i="51"/>
  <c r="T125" i="51"/>
  <c r="S125" i="51"/>
  <c r="R125" i="51"/>
  <c r="Q125" i="51"/>
  <c r="P125" i="51"/>
  <c r="O125" i="51"/>
  <c r="T124" i="51"/>
  <c r="S124" i="51"/>
  <c r="R124" i="51"/>
  <c r="Q124" i="51"/>
  <c r="P124" i="51"/>
  <c r="O124" i="51"/>
  <c r="T123" i="51"/>
  <c r="S123" i="51"/>
  <c r="R123" i="51"/>
  <c r="Q123" i="51"/>
  <c r="P123" i="51"/>
  <c r="O123" i="51"/>
  <c r="T122" i="51"/>
  <c r="S122" i="51"/>
  <c r="R122" i="51"/>
  <c r="Q122" i="51"/>
  <c r="P122" i="51"/>
  <c r="O122" i="51"/>
  <c r="T121" i="51"/>
  <c r="S121" i="51"/>
  <c r="R121" i="51"/>
  <c r="Q121" i="51"/>
  <c r="P121" i="51"/>
  <c r="O121" i="51"/>
  <c r="T120" i="51"/>
  <c r="S120" i="51"/>
  <c r="R120" i="51"/>
  <c r="Q120" i="51"/>
  <c r="P120" i="51"/>
  <c r="O120" i="51"/>
  <c r="T119" i="51"/>
  <c r="S119" i="51"/>
  <c r="R119" i="51"/>
  <c r="Q119" i="51"/>
  <c r="P119" i="51"/>
  <c r="O119" i="51"/>
  <c r="T118" i="51"/>
  <c r="S118" i="51"/>
  <c r="R118" i="51"/>
  <c r="Q118" i="51"/>
  <c r="P118" i="51"/>
  <c r="O118" i="51"/>
  <c r="T117" i="51"/>
  <c r="S117" i="51"/>
  <c r="R117" i="51"/>
  <c r="Q117" i="51"/>
  <c r="P117" i="51"/>
  <c r="O117" i="51"/>
  <c r="T116" i="51"/>
  <c r="S116" i="51"/>
  <c r="R116" i="51"/>
  <c r="Q116" i="51"/>
  <c r="P116" i="51"/>
  <c r="O116" i="51"/>
  <c r="T115" i="51"/>
  <c r="S115" i="51"/>
  <c r="R115" i="51"/>
  <c r="Q115" i="51"/>
  <c r="P115" i="51"/>
  <c r="O115" i="51"/>
  <c r="T114" i="51"/>
  <c r="S114" i="51"/>
  <c r="R114" i="51"/>
  <c r="Q114" i="51"/>
  <c r="P114" i="51"/>
  <c r="O114" i="51"/>
  <c r="T113" i="51"/>
  <c r="S113" i="51"/>
  <c r="R113" i="51"/>
  <c r="Q113" i="51"/>
  <c r="P113" i="51"/>
  <c r="O113" i="51"/>
  <c r="T112" i="51"/>
  <c r="S112" i="51"/>
  <c r="R112" i="51"/>
  <c r="Q112" i="51"/>
  <c r="P112" i="51"/>
  <c r="O112" i="51"/>
  <c r="T111" i="51"/>
  <c r="S111" i="51"/>
  <c r="R111" i="51"/>
  <c r="Q111" i="51"/>
  <c r="P111" i="51"/>
  <c r="O111" i="51"/>
  <c r="T110" i="51"/>
  <c r="S110" i="51"/>
  <c r="R110" i="51"/>
  <c r="Q110" i="51"/>
  <c r="P110" i="51"/>
  <c r="O110" i="51"/>
  <c r="T109" i="51"/>
  <c r="S109" i="51"/>
  <c r="R109" i="51"/>
  <c r="Q109" i="51"/>
  <c r="P109" i="51"/>
  <c r="O109" i="51"/>
  <c r="T108" i="51"/>
  <c r="S108" i="51"/>
  <c r="R108" i="51"/>
  <c r="Q108" i="51"/>
  <c r="P108" i="51"/>
  <c r="O108" i="51"/>
  <c r="T107" i="51"/>
  <c r="S107" i="51"/>
  <c r="R107" i="51"/>
  <c r="Q107" i="51"/>
  <c r="P107" i="51"/>
  <c r="O107" i="51"/>
  <c r="T106" i="51"/>
  <c r="S106" i="51"/>
  <c r="R106" i="51"/>
  <c r="Q106" i="51"/>
  <c r="P106" i="51"/>
  <c r="O106" i="51"/>
  <c r="T105" i="51"/>
  <c r="S105" i="51"/>
  <c r="R105" i="51"/>
  <c r="Q105" i="51"/>
  <c r="P105" i="51"/>
  <c r="O105" i="51"/>
  <c r="T104" i="51"/>
  <c r="S104" i="51"/>
  <c r="R104" i="51"/>
  <c r="Q104" i="51"/>
  <c r="P104" i="51"/>
  <c r="O104" i="51"/>
  <c r="T103" i="51"/>
  <c r="S103" i="51"/>
  <c r="R103" i="51"/>
  <c r="Q103" i="51"/>
  <c r="P103" i="51"/>
  <c r="O103" i="51"/>
  <c r="T102" i="51"/>
  <c r="S102" i="51"/>
  <c r="R102" i="51"/>
  <c r="Q102" i="51"/>
  <c r="P102" i="51"/>
  <c r="O102" i="51"/>
  <c r="T101" i="51"/>
  <c r="S101" i="51"/>
  <c r="R101" i="51"/>
  <c r="Q101" i="51"/>
  <c r="P101" i="51"/>
  <c r="O101" i="51"/>
  <c r="T100" i="51"/>
  <c r="S100" i="51"/>
  <c r="R100" i="51"/>
  <c r="Q100" i="51"/>
  <c r="P100" i="51"/>
  <c r="O100" i="51"/>
  <c r="T99" i="51"/>
  <c r="S99" i="51"/>
  <c r="R99" i="51"/>
  <c r="Q99" i="51"/>
  <c r="P99" i="51"/>
  <c r="O99" i="51"/>
  <c r="T98" i="51"/>
  <c r="S98" i="51"/>
  <c r="R98" i="51"/>
  <c r="Q98" i="51"/>
  <c r="P98" i="51"/>
  <c r="O98" i="51"/>
  <c r="T97" i="51"/>
  <c r="S97" i="51"/>
  <c r="R97" i="51"/>
  <c r="Q97" i="51"/>
  <c r="P97" i="51"/>
  <c r="O97" i="51"/>
  <c r="T96" i="51"/>
  <c r="S96" i="51"/>
  <c r="R96" i="51"/>
  <c r="Q96" i="51"/>
  <c r="P96" i="51"/>
  <c r="O96" i="51"/>
  <c r="T95" i="51"/>
  <c r="S95" i="51"/>
  <c r="R95" i="51"/>
  <c r="Q95" i="51"/>
  <c r="P95" i="51"/>
  <c r="O95" i="51"/>
  <c r="T94" i="51"/>
  <c r="S94" i="51"/>
  <c r="R94" i="51"/>
  <c r="Q94" i="51"/>
  <c r="P94" i="51"/>
  <c r="O94" i="51"/>
  <c r="T93" i="51"/>
  <c r="S93" i="51"/>
  <c r="R93" i="51"/>
  <c r="Q93" i="51"/>
  <c r="P93" i="51"/>
  <c r="O93" i="51"/>
  <c r="T92" i="51"/>
  <c r="S92" i="51"/>
  <c r="R92" i="51"/>
  <c r="Q92" i="51"/>
  <c r="P92" i="51"/>
  <c r="O92" i="51"/>
  <c r="T91" i="51"/>
  <c r="S91" i="51"/>
  <c r="R91" i="51"/>
  <c r="Q91" i="51"/>
  <c r="P91" i="51"/>
  <c r="O91" i="51"/>
  <c r="T90" i="51"/>
  <c r="S90" i="51"/>
  <c r="R90" i="51"/>
  <c r="Q90" i="51"/>
  <c r="P90" i="51"/>
  <c r="O90" i="51"/>
  <c r="T89" i="51"/>
  <c r="S89" i="51"/>
  <c r="R89" i="51"/>
  <c r="Q89" i="51"/>
  <c r="P89" i="51"/>
  <c r="O89" i="51"/>
  <c r="T88" i="51"/>
  <c r="S88" i="51"/>
  <c r="R88" i="51"/>
  <c r="Q88" i="51"/>
  <c r="P88" i="51"/>
  <c r="O88" i="51"/>
  <c r="T87" i="51"/>
  <c r="S87" i="51"/>
  <c r="R87" i="51"/>
  <c r="Q87" i="51"/>
  <c r="P87" i="51"/>
  <c r="O87" i="51"/>
  <c r="T86" i="51"/>
  <c r="S86" i="51"/>
  <c r="R86" i="51"/>
  <c r="Q86" i="51"/>
  <c r="P86" i="51"/>
  <c r="O86" i="51"/>
  <c r="T85" i="51"/>
  <c r="S85" i="51"/>
  <c r="R85" i="51"/>
  <c r="Q85" i="51"/>
  <c r="P85" i="51"/>
  <c r="O85" i="51"/>
  <c r="T84" i="51"/>
  <c r="S84" i="51"/>
  <c r="R84" i="51"/>
  <c r="Q84" i="51"/>
  <c r="P84" i="51"/>
  <c r="O84" i="51"/>
  <c r="T83" i="51"/>
  <c r="S83" i="51"/>
  <c r="R83" i="51"/>
  <c r="Q83" i="51"/>
  <c r="P83" i="51"/>
  <c r="O83" i="51"/>
  <c r="T82" i="51"/>
  <c r="S82" i="51"/>
  <c r="R82" i="51"/>
  <c r="Q82" i="51"/>
  <c r="P82" i="51"/>
  <c r="O82" i="51"/>
  <c r="T81" i="51"/>
  <c r="S81" i="51"/>
  <c r="R81" i="51"/>
  <c r="Q81" i="51"/>
  <c r="P81" i="51"/>
  <c r="O81" i="51"/>
  <c r="T80" i="51"/>
  <c r="S80" i="51"/>
  <c r="R80" i="51"/>
  <c r="Q80" i="51"/>
  <c r="P80" i="51"/>
  <c r="O80" i="51"/>
  <c r="T79" i="51"/>
  <c r="S79" i="51"/>
  <c r="R79" i="51"/>
  <c r="Q79" i="51"/>
  <c r="P79" i="51"/>
  <c r="O79" i="51"/>
  <c r="T78" i="51"/>
  <c r="S78" i="51"/>
  <c r="R78" i="51"/>
  <c r="Q78" i="51"/>
  <c r="P78" i="51"/>
  <c r="O78" i="51"/>
  <c r="T77" i="51"/>
  <c r="S77" i="51"/>
  <c r="R77" i="51"/>
  <c r="Q77" i="51"/>
  <c r="P77" i="51"/>
  <c r="O77" i="51"/>
  <c r="T76" i="51"/>
  <c r="S76" i="51"/>
  <c r="R76" i="51"/>
  <c r="Q76" i="51"/>
  <c r="P76" i="51"/>
  <c r="O76" i="51"/>
  <c r="T75" i="51"/>
  <c r="S75" i="51"/>
  <c r="R75" i="51"/>
  <c r="Q75" i="51"/>
  <c r="P75" i="51"/>
  <c r="O75" i="51"/>
  <c r="T74" i="51"/>
  <c r="S74" i="51"/>
  <c r="R74" i="51"/>
  <c r="Q74" i="51"/>
  <c r="P74" i="51"/>
  <c r="O74" i="51"/>
  <c r="T73" i="51"/>
  <c r="S73" i="51"/>
  <c r="R73" i="51"/>
  <c r="Q73" i="51"/>
  <c r="P73" i="51"/>
  <c r="O73" i="51"/>
  <c r="T72" i="51"/>
  <c r="S72" i="51"/>
  <c r="R72" i="51"/>
  <c r="Q72" i="51"/>
  <c r="P72" i="51"/>
  <c r="O72" i="51"/>
  <c r="T71" i="51"/>
  <c r="S71" i="51"/>
  <c r="R71" i="51"/>
  <c r="Q71" i="51"/>
  <c r="P71" i="51"/>
  <c r="O71" i="51"/>
  <c r="T70" i="51"/>
  <c r="S70" i="51"/>
  <c r="R70" i="51"/>
  <c r="Q70" i="51"/>
  <c r="P70" i="51"/>
  <c r="O70" i="51"/>
  <c r="T69" i="51"/>
  <c r="S69" i="51"/>
  <c r="R69" i="51"/>
  <c r="Q69" i="51"/>
  <c r="P69" i="51"/>
  <c r="O69" i="51"/>
  <c r="T68" i="51"/>
  <c r="S68" i="51"/>
  <c r="R68" i="51"/>
  <c r="Q68" i="51"/>
  <c r="P68" i="51"/>
  <c r="O68" i="51"/>
  <c r="T67" i="51"/>
  <c r="S67" i="51"/>
  <c r="R67" i="51"/>
  <c r="Q67" i="51"/>
  <c r="P67" i="51"/>
  <c r="O67" i="51"/>
  <c r="T66" i="51"/>
  <c r="S66" i="51"/>
  <c r="R66" i="51"/>
  <c r="Q66" i="51"/>
  <c r="P66" i="51"/>
  <c r="O66" i="51"/>
  <c r="T65" i="51"/>
  <c r="S65" i="51"/>
  <c r="R65" i="51"/>
  <c r="Q65" i="51"/>
  <c r="P65" i="51"/>
  <c r="O65" i="51"/>
  <c r="T64" i="51"/>
  <c r="S64" i="51"/>
  <c r="R64" i="51"/>
  <c r="Q64" i="51"/>
  <c r="P64" i="51"/>
  <c r="O64" i="51"/>
  <c r="T63" i="51"/>
  <c r="S63" i="51"/>
  <c r="R63" i="51"/>
  <c r="Q63" i="51"/>
  <c r="P63" i="51"/>
  <c r="O63" i="51"/>
  <c r="T62" i="51"/>
  <c r="S62" i="51"/>
  <c r="R62" i="51"/>
  <c r="Q62" i="51"/>
  <c r="P62" i="51"/>
  <c r="O62" i="51"/>
  <c r="T61" i="51"/>
  <c r="S61" i="51"/>
  <c r="R61" i="51"/>
  <c r="Q61" i="51"/>
  <c r="P61" i="51"/>
  <c r="O61" i="51"/>
  <c r="T60" i="51"/>
  <c r="S60" i="51"/>
  <c r="R60" i="51"/>
  <c r="Q60" i="51"/>
  <c r="P60" i="51"/>
  <c r="O60" i="51"/>
  <c r="T59" i="51"/>
  <c r="S59" i="51"/>
  <c r="R59" i="51"/>
  <c r="Q59" i="51"/>
  <c r="P59" i="51"/>
  <c r="O59" i="51"/>
  <c r="T58" i="51"/>
  <c r="S58" i="51"/>
  <c r="R58" i="51"/>
  <c r="Q58" i="51"/>
  <c r="P58" i="51"/>
  <c r="O58" i="51"/>
  <c r="T57" i="51"/>
  <c r="S57" i="51"/>
  <c r="R57" i="51"/>
  <c r="Q57" i="51"/>
  <c r="P57" i="51"/>
  <c r="O57" i="51"/>
  <c r="T56" i="51"/>
  <c r="S56" i="51"/>
  <c r="R56" i="51"/>
  <c r="Q56" i="51"/>
  <c r="P56" i="51"/>
  <c r="O56" i="51"/>
  <c r="T55" i="51"/>
  <c r="S55" i="51"/>
  <c r="R55" i="51"/>
  <c r="Q55" i="51"/>
  <c r="P55" i="51"/>
  <c r="O55" i="51"/>
  <c r="T54" i="51"/>
  <c r="S54" i="51"/>
  <c r="R54" i="51"/>
  <c r="Q54" i="51"/>
  <c r="P54" i="51"/>
  <c r="O54" i="51"/>
  <c r="T53" i="51"/>
  <c r="S53" i="51"/>
  <c r="R53" i="51"/>
  <c r="Q53" i="51"/>
  <c r="P53" i="51"/>
  <c r="O53" i="51"/>
  <c r="T52" i="51"/>
  <c r="S52" i="51"/>
  <c r="R52" i="51"/>
  <c r="Q52" i="51"/>
  <c r="P52" i="51"/>
  <c r="O52" i="51"/>
  <c r="T51" i="51"/>
  <c r="S51" i="51"/>
  <c r="R51" i="51"/>
  <c r="Q51" i="51"/>
  <c r="P51" i="51"/>
  <c r="O51" i="51"/>
  <c r="T50" i="51"/>
  <c r="S50" i="51"/>
  <c r="R50" i="51"/>
  <c r="Q50" i="51"/>
  <c r="P50" i="51"/>
  <c r="O50" i="51"/>
  <c r="T49" i="51"/>
  <c r="S49" i="51"/>
  <c r="R49" i="51"/>
  <c r="Q49" i="51"/>
  <c r="P49" i="51"/>
  <c r="O49" i="51"/>
  <c r="T48" i="51"/>
  <c r="S48" i="51"/>
  <c r="R48" i="51"/>
  <c r="Q48" i="51"/>
  <c r="P48" i="51"/>
  <c r="O48" i="51"/>
  <c r="T47" i="51"/>
  <c r="S47" i="51"/>
  <c r="R47" i="51"/>
  <c r="Q47" i="51"/>
  <c r="P47" i="51"/>
  <c r="O47" i="51"/>
  <c r="T46" i="51"/>
  <c r="S46" i="51"/>
  <c r="R46" i="51"/>
  <c r="Q46" i="51"/>
  <c r="P46" i="51"/>
  <c r="O46" i="51"/>
  <c r="T45" i="51"/>
  <c r="S45" i="51"/>
  <c r="R45" i="51"/>
  <c r="Q45" i="51"/>
  <c r="P45" i="51"/>
  <c r="O45" i="51"/>
  <c r="T44" i="51"/>
  <c r="S44" i="51"/>
  <c r="R44" i="51"/>
  <c r="Q44" i="51"/>
  <c r="P44" i="51"/>
  <c r="O44" i="51"/>
  <c r="T43" i="51"/>
  <c r="S43" i="51"/>
  <c r="R43" i="51"/>
  <c r="Q43" i="51"/>
  <c r="P43" i="51"/>
  <c r="O43" i="51"/>
  <c r="T42" i="51"/>
  <c r="S42" i="51"/>
  <c r="R42" i="51"/>
  <c r="Q42" i="51"/>
  <c r="P42" i="51"/>
  <c r="O42" i="51"/>
  <c r="T41" i="51"/>
  <c r="S41" i="51"/>
  <c r="R41" i="51"/>
  <c r="Q41" i="51"/>
  <c r="P41" i="51"/>
  <c r="O41" i="51"/>
  <c r="T40" i="51"/>
  <c r="S40" i="51"/>
  <c r="R40" i="51"/>
  <c r="Q40" i="51"/>
  <c r="P40" i="51"/>
  <c r="O40" i="51"/>
  <c r="T39" i="51"/>
  <c r="S39" i="51"/>
  <c r="R39" i="51"/>
  <c r="Q39" i="51"/>
  <c r="P39" i="51"/>
  <c r="O39" i="51"/>
  <c r="T38" i="51"/>
  <c r="S38" i="51"/>
  <c r="R38" i="51"/>
  <c r="Q38" i="51"/>
  <c r="P38" i="51"/>
  <c r="O38" i="51"/>
  <c r="T37" i="51"/>
  <c r="S37" i="51"/>
  <c r="R37" i="51"/>
  <c r="Q37" i="51"/>
  <c r="P37" i="51"/>
  <c r="O37" i="51"/>
  <c r="T36" i="51"/>
  <c r="S36" i="51"/>
  <c r="R36" i="51"/>
  <c r="Q36" i="51"/>
  <c r="P36" i="51"/>
  <c r="O36" i="51"/>
  <c r="T35" i="51"/>
  <c r="S35" i="51"/>
  <c r="R35" i="51"/>
  <c r="Q35" i="51"/>
  <c r="P35" i="51"/>
  <c r="O35" i="51"/>
  <c r="T34" i="51"/>
  <c r="S34" i="51"/>
  <c r="R34" i="51"/>
  <c r="Q34" i="51"/>
  <c r="P34" i="51"/>
  <c r="O34" i="51"/>
  <c r="T33" i="51"/>
  <c r="S33" i="51"/>
  <c r="R33" i="51"/>
  <c r="Q33" i="51"/>
  <c r="P33" i="51"/>
  <c r="O33" i="51"/>
  <c r="T32" i="51"/>
  <c r="S32" i="51"/>
  <c r="R32" i="51"/>
  <c r="Q32" i="51"/>
  <c r="P32" i="51"/>
  <c r="O32" i="51"/>
  <c r="T31" i="51"/>
  <c r="S31" i="51"/>
  <c r="R31" i="51"/>
  <c r="Q31" i="51"/>
  <c r="P31" i="51"/>
  <c r="O31" i="51"/>
  <c r="T30" i="51"/>
  <c r="S30" i="51"/>
  <c r="R30" i="51"/>
  <c r="Q30" i="51"/>
  <c r="P30" i="51"/>
  <c r="O30" i="51"/>
  <c r="T29" i="51"/>
  <c r="S29" i="51"/>
  <c r="R29" i="51"/>
  <c r="Q29" i="51"/>
  <c r="P29" i="51"/>
  <c r="O29" i="51"/>
  <c r="T28" i="51"/>
  <c r="S28" i="51"/>
  <c r="R28" i="51"/>
  <c r="Q28" i="51"/>
  <c r="P28" i="51"/>
  <c r="O28" i="51"/>
  <c r="T27" i="51"/>
  <c r="S27" i="51"/>
  <c r="R27" i="51"/>
  <c r="Q27" i="51"/>
  <c r="P27" i="51"/>
  <c r="O27" i="51"/>
  <c r="T26" i="51"/>
  <c r="S26" i="51"/>
  <c r="R26" i="51"/>
  <c r="Q26" i="51"/>
  <c r="P26" i="51"/>
  <c r="O26" i="51"/>
  <c r="T25" i="51"/>
  <c r="S25" i="51"/>
  <c r="R25" i="51"/>
  <c r="Q25" i="51"/>
  <c r="P25" i="51"/>
  <c r="O25" i="51"/>
  <c r="T24" i="51"/>
  <c r="S24" i="51"/>
  <c r="R24" i="51"/>
  <c r="Q24" i="51"/>
  <c r="P24" i="51"/>
  <c r="O24" i="51"/>
  <c r="T23" i="51"/>
  <c r="S23" i="51"/>
  <c r="R23" i="51"/>
  <c r="Q23" i="51"/>
  <c r="P23" i="51"/>
  <c r="O23" i="51"/>
  <c r="T22" i="51"/>
  <c r="S22" i="51"/>
  <c r="R22" i="51"/>
  <c r="Q22" i="51"/>
  <c r="P22" i="51"/>
  <c r="O22" i="51"/>
  <c r="T21" i="51"/>
  <c r="S21" i="51"/>
  <c r="R21" i="51"/>
  <c r="Q21" i="51"/>
  <c r="P21" i="51"/>
  <c r="O21" i="51"/>
  <c r="T20" i="51"/>
  <c r="S20" i="51"/>
  <c r="R20" i="51"/>
  <c r="Q20" i="51"/>
  <c r="P20" i="51"/>
  <c r="O20" i="51"/>
  <c r="T19" i="51"/>
  <c r="S19" i="51"/>
  <c r="R19" i="51"/>
  <c r="Q19" i="51"/>
  <c r="P19" i="51"/>
  <c r="O19" i="51"/>
  <c r="T18" i="51"/>
  <c r="S18" i="51"/>
  <c r="R18" i="51"/>
  <c r="Q18" i="51"/>
  <c r="P18" i="51"/>
  <c r="O18" i="51"/>
  <c r="T17" i="51"/>
  <c r="S17" i="51"/>
  <c r="R17" i="51"/>
  <c r="Q17" i="51"/>
  <c r="P17" i="51"/>
  <c r="O17" i="51"/>
  <c r="T16" i="51"/>
  <c r="S16" i="51"/>
  <c r="R16" i="51"/>
  <c r="Q16" i="51"/>
  <c r="P16" i="51"/>
  <c r="O16" i="51"/>
  <c r="T15" i="51"/>
  <c r="S15" i="51"/>
  <c r="R15" i="51"/>
  <c r="Q15" i="51"/>
  <c r="P15" i="51"/>
  <c r="O15" i="51"/>
  <c r="T14" i="51"/>
  <c r="S14" i="51"/>
  <c r="R14" i="51"/>
  <c r="Q14" i="51"/>
  <c r="P14" i="51"/>
  <c r="O14" i="51"/>
  <c r="T13" i="51"/>
  <c r="S13" i="51"/>
  <c r="R13" i="51"/>
  <c r="Q13" i="51"/>
  <c r="P13" i="51"/>
  <c r="O13" i="51"/>
  <c r="T12" i="51"/>
  <c r="S12" i="51"/>
  <c r="R12" i="51"/>
  <c r="Q12" i="51"/>
  <c r="P12" i="51"/>
  <c r="O12" i="51"/>
  <c r="T11" i="51"/>
  <c r="S11" i="51"/>
  <c r="R11" i="51"/>
  <c r="Q11" i="51"/>
  <c r="P11" i="51"/>
  <c r="O11" i="51"/>
  <c r="D74" i="45"/>
  <c r="C74" i="45"/>
  <c r="H8" i="43"/>
  <c r="N8" i="43" s="1"/>
  <c r="G8" i="43"/>
  <c r="M8" i="43" s="1"/>
  <c r="F8" i="43"/>
  <c r="L8" i="43" s="1"/>
  <c r="E8" i="43"/>
  <c r="K8" i="43" s="1"/>
  <c r="D8" i="43"/>
  <c r="J8" i="43" s="1"/>
  <c r="H8" i="47"/>
  <c r="N8" i="47" s="1"/>
  <c r="G8" i="47"/>
  <c r="M8" i="47" s="1"/>
  <c r="F8" i="47"/>
  <c r="L8" i="47" s="1"/>
  <c r="E8" i="47"/>
  <c r="K8" i="47" s="1"/>
  <c r="D8" i="47"/>
  <c r="J8" i="47" s="1"/>
  <c r="C21" i="43" l="1"/>
  <c r="C100" i="47"/>
  <c r="D255" i="45" l="1"/>
  <c r="E255" i="45"/>
  <c r="C85" i="45" l="1"/>
  <c r="C86" i="45" s="1"/>
  <c r="Q2" i="42" l="1"/>
  <c r="D8" i="48"/>
  <c r="C47" i="42"/>
  <c r="C50" i="42" s="1"/>
  <c r="J13" i="42"/>
  <c r="H5" i="42"/>
  <c r="D26" i="42"/>
  <c r="C24" i="42"/>
  <c r="D24" i="42" s="1"/>
  <c r="C23" i="42"/>
  <c r="D23" i="42" s="1"/>
  <c r="V43" i="42"/>
  <c r="V42" i="42"/>
  <c r="P43" i="42"/>
  <c r="P42" i="42"/>
  <c r="M43" i="42"/>
  <c r="M42" i="42"/>
  <c r="Q62" i="42"/>
  <c r="O62" i="42"/>
  <c r="C8" i="42" s="1"/>
  <c r="E62" i="42"/>
  <c r="K62" i="42" s="1"/>
  <c r="D62" i="42"/>
  <c r="J62" i="42" s="1"/>
  <c r="P62" i="42" l="1"/>
  <c r="V36" i="41"/>
  <c r="P36" i="41"/>
  <c r="M36" i="41"/>
  <c r="V35" i="41"/>
  <c r="P35" i="41"/>
  <c r="M35" i="41"/>
  <c r="V29" i="43"/>
  <c r="P29" i="43"/>
  <c r="M29" i="43"/>
  <c r="V28" i="43"/>
  <c r="P28" i="43"/>
  <c r="M28" i="43"/>
  <c r="C14" i="43"/>
  <c r="O8" i="43" s="1"/>
  <c r="V110" i="47"/>
  <c r="P110" i="47"/>
  <c r="M110" i="47"/>
  <c r="V109" i="47"/>
  <c r="P109" i="47"/>
  <c r="M109" i="47"/>
  <c r="V108" i="47"/>
  <c r="P108" i="47"/>
  <c r="M108" i="47"/>
  <c r="V107" i="47"/>
  <c r="P107" i="47"/>
  <c r="M107" i="47"/>
  <c r="H62" i="42" l="1"/>
  <c r="N62" i="42" s="1"/>
  <c r="G62" i="42"/>
  <c r="M62" i="42" s="1"/>
  <c r="F62" i="42"/>
  <c r="L62" i="42" s="1"/>
  <c r="K96" i="45"/>
  <c r="K97" i="45"/>
  <c r="K98" i="45"/>
  <c r="K99" i="45"/>
  <c r="K100" i="45"/>
  <c r="K101" i="45"/>
  <c r="K102" i="45"/>
  <c r="K95" i="45"/>
  <c r="J96" i="45"/>
  <c r="J97" i="45"/>
  <c r="J98" i="45"/>
  <c r="J99" i="45"/>
  <c r="J100" i="45"/>
  <c r="J101" i="45"/>
  <c r="J102" i="45"/>
  <c r="J95" i="45"/>
  <c r="C117" i="45"/>
  <c r="F109" i="45"/>
  <c r="F110" i="45"/>
  <c r="F111" i="45"/>
  <c r="F112" i="45"/>
  <c r="F113" i="45"/>
  <c r="F114" i="45"/>
  <c r="F115" i="45"/>
  <c r="F108" i="45"/>
  <c r="E109" i="45"/>
  <c r="E110" i="45"/>
  <c r="E111" i="45"/>
  <c r="E112" i="45"/>
  <c r="E113" i="45"/>
  <c r="E114" i="45"/>
  <c r="E115" i="45"/>
  <c r="E108" i="45"/>
  <c r="C109" i="45"/>
  <c r="C110" i="45"/>
  <c r="C111" i="45"/>
  <c r="C112" i="45"/>
  <c r="C113" i="45"/>
  <c r="C114" i="45"/>
  <c r="C115" i="45"/>
  <c r="C108" i="45"/>
  <c r="F106" i="45"/>
  <c r="F105" i="45"/>
  <c r="E106" i="45"/>
  <c r="E105" i="45"/>
  <c r="C106" i="45"/>
  <c r="C105" i="45"/>
  <c r="F96" i="45"/>
  <c r="F97" i="45"/>
  <c r="F98" i="45"/>
  <c r="F99" i="45"/>
  <c r="F100" i="45"/>
  <c r="F101" i="45"/>
  <c r="F102" i="45"/>
  <c r="F95" i="45"/>
  <c r="E102" i="45"/>
  <c r="D102" i="45" s="1"/>
  <c r="E96" i="45"/>
  <c r="D96" i="45" s="1"/>
  <c r="E97" i="45"/>
  <c r="D97" i="45" s="1"/>
  <c r="E98" i="45"/>
  <c r="D98" i="45" s="1"/>
  <c r="E99" i="45"/>
  <c r="D99" i="45" s="1"/>
  <c r="E100" i="45"/>
  <c r="E101" i="45"/>
  <c r="D101" i="45" s="1"/>
  <c r="E95" i="45"/>
  <c r="D95" i="45" s="1"/>
  <c r="D100" i="45"/>
  <c r="C96" i="45"/>
  <c r="C97" i="45"/>
  <c r="C98" i="45"/>
  <c r="C99" i="45"/>
  <c r="C100" i="45"/>
  <c r="C101" i="45"/>
  <c r="C102" i="45"/>
  <c r="C95" i="45"/>
  <c r="C186" i="45"/>
  <c r="F179" i="45"/>
  <c r="F180" i="45"/>
  <c r="F181" i="45"/>
  <c r="F182" i="45"/>
  <c r="F183" i="45"/>
  <c r="F184" i="45"/>
  <c r="F185" i="45"/>
  <c r="F178" i="45"/>
  <c r="G167" i="45"/>
  <c r="F169" i="45"/>
  <c r="F168" i="45"/>
  <c r="G168" i="45" s="1"/>
  <c r="F167" i="45"/>
  <c r="F166" i="45"/>
  <c r="G166" i="45" s="1"/>
  <c r="F165" i="45"/>
  <c r="G165" i="45" s="1"/>
  <c r="E166" i="45"/>
  <c r="E167" i="45"/>
  <c r="E168" i="45"/>
  <c r="E169" i="45"/>
  <c r="E165" i="45"/>
  <c r="F175" i="45" l="1"/>
  <c r="G169" i="45"/>
  <c r="F117" i="45" s="1"/>
  <c r="A122" i="45" l="1"/>
  <c r="M31" i="51"/>
  <c r="N31" i="51"/>
  <c r="M32" i="51" l="1"/>
  <c r="N32" i="51"/>
  <c r="M33" i="51"/>
  <c r="C20" i="41"/>
  <c r="C15" i="41"/>
  <c r="N33" i="51" l="1"/>
  <c r="M34" i="51"/>
  <c r="I13" i="42"/>
  <c r="H13" i="42" s="1"/>
  <c r="N34" i="51" l="1"/>
  <c r="M35" i="51"/>
  <c r="N35" i="51" l="1"/>
  <c r="M36" i="51"/>
  <c r="N36" i="51" l="1"/>
  <c r="M37" i="51"/>
  <c r="N37" i="51" l="1"/>
  <c r="M38" i="51"/>
  <c r="D76" i="45"/>
  <c r="D77" i="45" s="1"/>
  <c r="C76" i="45"/>
  <c r="C77" i="45" s="1"/>
  <c r="N38" i="51" l="1"/>
  <c r="M39" i="51"/>
  <c r="C77" i="46"/>
  <c r="C65" i="46"/>
  <c r="C122" i="46"/>
  <c r="C112" i="46"/>
  <c r="C102" i="46"/>
  <c r="C55" i="46"/>
  <c r="N39" i="51" l="1"/>
  <c r="M40" i="51"/>
  <c r="Q36" i="47"/>
  <c r="Q37" i="47"/>
  <c r="Q38" i="47"/>
  <c r="Q39" i="47"/>
  <c r="Q40" i="47"/>
  <c r="Q41" i="47"/>
  <c r="Q42" i="47"/>
  <c r="Q43" i="47"/>
  <c r="Q44" i="47"/>
  <c r="Q45" i="47"/>
  <c r="Q46" i="47"/>
  <c r="Q47" i="47"/>
  <c r="N40" i="51" l="1"/>
  <c r="M41" i="51"/>
  <c r="M123" i="45"/>
  <c r="M124" i="45"/>
  <c r="M125" i="45"/>
  <c r="M126" i="45"/>
  <c r="M127" i="45"/>
  <c r="M128" i="45"/>
  <c r="M129" i="45"/>
  <c r="M130" i="45"/>
  <c r="M131" i="45"/>
  <c r="M132" i="45"/>
  <c r="M133" i="45"/>
  <c r="M134" i="45"/>
  <c r="M135" i="45"/>
  <c r="M136" i="45"/>
  <c r="M137" i="45"/>
  <c r="M138" i="45"/>
  <c r="M139" i="45"/>
  <c r="M140" i="45"/>
  <c r="M141" i="45"/>
  <c r="M142" i="45"/>
  <c r="M143" i="45"/>
  <c r="M144" i="45"/>
  <c r="M145" i="45"/>
  <c r="M146" i="45"/>
  <c r="M147" i="45"/>
  <c r="M148" i="45"/>
  <c r="M149" i="45"/>
  <c r="M150" i="45"/>
  <c r="M151" i="45"/>
  <c r="AL123" i="45"/>
  <c r="AL130" i="45"/>
  <c r="AK123" i="45"/>
  <c r="AK130" i="45"/>
  <c r="N41" i="51" l="1"/>
  <c r="M42" i="51"/>
  <c r="T56" i="45"/>
  <c r="T55" i="45"/>
  <c r="T54" i="45"/>
  <c r="T53" i="45"/>
  <c r="T39" i="45"/>
  <c r="AC41" i="45"/>
  <c r="AC40" i="45"/>
  <c r="AC39" i="45"/>
  <c r="AC38" i="45"/>
  <c r="N42" i="51" l="1"/>
  <c r="M43" i="51"/>
  <c r="T38" i="45"/>
  <c r="H91" i="47"/>
  <c r="N43" i="51" l="1"/>
  <c r="M44" i="51"/>
  <c r="R19" i="47"/>
  <c r="Z19" i="47" s="1"/>
  <c r="R20" i="47"/>
  <c r="Z20" i="47" s="1"/>
  <c r="R23" i="47"/>
  <c r="Z23" i="47" s="1"/>
  <c r="R24" i="47"/>
  <c r="Z24" i="47" s="1"/>
  <c r="R25" i="47"/>
  <c r="Z25" i="47" s="1"/>
  <c r="R26" i="47"/>
  <c r="Z26" i="47" s="1"/>
  <c r="R31" i="47"/>
  <c r="Z31" i="47" s="1"/>
  <c r="R34" i="47"/>
  <c r="Z34" i="47" s="1"/>
  <c r="R36" i="47"/>
  <c r="Z36" i="47" s="1"/>
  <c r="R37" i="47"/>
  <c r="Z37" i="47" s="1"/>
  <c r="R38" i="47"/>
  <c r="R39" i="47"/>
  <c r="Z39" i="47" s="1"/>
  <c r="R40" i="47"/>
  <c r="Z40" i="47" s="1"/>
  <c r="R41" i="47"/>
  <c r="R42" i="47"/>
  <c r="Z42" i="47" s="1"/>
  <c r="R43" i="47"/>
  <c r="Z43" i="47" s="1"/>
  <c r="R44" i="47"/>
  <c r="R45" i="47"/>
  <c r="Z45" i="47" s="1"/>
  <c r="R46" i="47"/>
  <c r="R47" i="47"/>
  <c r="S47" i="47" s="1"/>
  <c r="R48" i="47"/>
  <c r="S48" i="47" s="1"/>
  <c r="R18" i="47"/>
  <c r="Q48" i="47"/>
  <c r="N48" i="47"/>
  <c r="E48" i="47"/>
  <c r="F48" i="47" s="1"/>
  <c r="E47" i="47"/>
  <c r="F47" i="47" s="1"/>
  <c r="N42" i="47"/>
  <c r="N45" i="47"/>
  <c r="N44" i="51" l="1"/>
  <c r="M45" i="51"/>
  <c r="N47" i="47"/>
  <c r="N45" i="51" l="1"/>
  <c r="M46" i="51"/>
  <c r="W35" i="46"/>
  <c r="AC40" i="46"/>
  <c r="AC39" i="46"/>
  <c r="AC38" i="46"/>
  <c r="AC37" i="46"/>
  <c r="AC36" i="46"/>
  <c r="AC35" i="46"/>
  <c r="T25" i="46"/>
  <c r="T24" i="46"/>
  <c r="T23" i="46"/>
  <c r="T22" i="46"/>
  <c r="AC23" i="46"/>
  <c r="AC22" i="46"/>
  <c r="C6" i="51"/>
  <c r="L31" i="51"/>
  <c r="N46" i="51" l="1"/>
  <c r="L32" i="51"/>
  <c r="M47" i="51"/>
  <c r="N47" i="51" l="1"/>
  <c r="L33" i="51"/>
  <c r="M48" i="51"/>
  <c r="L34" i="51"/>
  <c r="N48" i="51" l="1"/>
  <c r="M49" i="51"/>
  <c r="L35" i="51"/>
  <c r="K31" i="51"/>
  <c r="N49" i="51" l="1"/>
  <c r="M50" i="51"/>
  <c r="L36" i="51"/>
  <c r="K32" i="51"/>
  <c r="M122" i="45"/>
  <c r="H123" i="45"/>
  <c r="H124" i="45"/>
  <c r="H125" i="45"/>
  <c r="H126" i="45"/>
  <c r="H127" i="45"/>
  <c r="H128" i="45"/>
  <c r="H129" i="45"/>
  <c r="H130" i="45"/>
  <c r="H131" i="45"/>
  <c r="H132" i="45"/>
  <c r="H133" i="45"/>
  <c r="H134" i="45"/>
  <c r="H135" i="45"/>
  <c r="H136" i="45"/>
  <c r="H137" i="45"/>
  <c r="H138" i="45"/>
  <c r="H139" i="45"/>
  <c r="H140" i="45"/>
  <c r="H141" i="45"/>
  <c r="H142" i="45"/>
  <c r="H143" i="45"/>
  <c r="H144" i="45"/>
  <c r="H145" i="45"/>
  <c r="H146" i="45"/>
  <c r="H147" i="45"/>
  <c r="H148" i="45"/>
  <c r="H149" i="45"/>
  <c r="H150" i="45"/>
  <c r="H151" i="45"/>
  <c r="H122" i="45"/>
  <c r="AM123" i="45"/>
  <c r="AM124" i="45"/>
  <c r="AM125" i="45"/>
  <c r="AM126" i="45"/>
  <c r="AM127" i="45"/>
  <c r="AM128" i="45"/>
  <c r="AM129" i="45"/>
  <c r="AM130" i="45"/>
  <c r="AM131" i="45"/>
  <c r="AM132" i="45"/>
  <c r="AM133" i="45"/>
  <c r="AM134" i="45"/>
  <c r="AM135" i="45"/>
  <c r="AM136" i="45"/>
  <c r="AM137" i="45"/>
  <c r="AM138" i="45"/>
  <c r="AM139" i="45"/>
  <c r="AM140" i="45"/>
  <c r="AM141" i="45"/>
  <c r="AM142" i="45"/>
  <c r="AM143" i="45"/>
  <c r="AM144" i="45"/>
  <c r="AM145" i="45"/>
  <c r="AM146" i="45"/>
  <c r="AM147" i="45"/>
  <c r="AM148" i="45"/>
  <c r="AM149" i="45"/>
  <c r="AM150" i="45"/>
  <c r="AM151" i="45"/>
  <c r="AM122" i="45"/>
  <c r="A123" i="45"/>
  <c r="A124" i="45"/>
  <c r="A125" i="45"/>
  <c r="A126" i="45"/>
  <c r="A127" i="45"/>
  <c r="A128" i="45"/>
  <c r="A129" i="45"/>
  <c r="A130" i="45"/>
  <c r="A131" i="45"/>
  <c r="G131" i="45" s="1"/>
  <c r="A132" i="45"/>
  <c r="G132" i="45" s="1"/>
  <c r="A133" i="45"/>
  <c r="G133" i="45" s="1"/>
  <c r="A134" i="45"/>
  <c r="G134" i="45" s="1"/>
  <c r="A135" i="45"/>
  <c r="G135" i="45" s="1"/>
  <c r="A136" i="45"/>
  <c r="G136" i="45" s="1"/>
  <c r="A137" i="45"/>
  <c r="G137" i="45" s="1"/>
  <c r="A138" i="45"/>
  <c r="G138" i="45" s="1"/>
  <c r="A139" i="45"/>
  <c r="G139" i="45" s="1"/>
  <c r="A140" i="45"/>
  <c r="G140" i="45" s="1"/>
  <c r="A141" i="45"/>
  <c r="G141" i="45" s="1"/>
  <c r="A142" i="45"/>
  <c r="G142" i="45" s="1"/>
  <c r="A143" i="45"/>
  <c r="G143" i="45" s="1"/>
  <c r="A144" i="45"/>
  <c r="G144" i="45" s="1"/>
  <c r="A145" i="45"/>
  <c r="G145" i="45" s="1"/>
  <c r="A146" i="45"/>
  <c r="G146" i="45" s="1"/>
  <c r="A147" i="45"/>
  <c r="G147" i="45" s="1"/>
  <c r="A148" i="45"/>
  <c r="G148" i="45" s="1"/>
  <c r="A149" i="45"/>
  <c r="G149" i="45" s="1"/>
  <c r="A150" i="45"/>
  <c r="G150" i="45" s="1"/>
  <c r="A151" i="45"/>
  <c r="G151" i="45" s="1"/>
  <c r="F151" i="45"/>
  <c r="F150" i="45"/>
  <c r="F149" i="45"/>
  <c r="F148" i="45"/>
  <c r="F147" i="45"/>
  <c r="F146" i="45"/>
  <c r="F145" i="45"/>
  <c r="F144" i="45"/>
  <c r="F143" i="45"/>
  <c r="F142" i="45"/>
  <c r="F141" i="45"/>
  <c r="F140" i="45"/>
  <c r="F139" i="45"/>
  <c r="F138" i="45"/>
  <c r="F137" i="45"/>
  <c r="F136" i="45"/>
  <c r="F135" i="45"/>
  <c r="F134" i="45"/>
  <c r="F133" i="45"/>
  <c r="F132" i="45"/>
  <c r="F131" i="45"/>
  <c r="F130" i="45"/>
  <c r="F129" i="45"/>
  <c r="F128" i="45"/>
  <c r="F127" i="45"/>
  <c r="F126" i="45"/>
  <c r="F125" i="45"/>
  <c r="F124" i="45"/>
  <c r="F123" i="45"/>
  <c r="F122" i="45"/>
  <c r="N50" i="51" l="1"/>
  <c r="M51" i="51"/>
  <c r="K33" i="51"/>
  <c r="L37" i="51"/>
  <c r="AL151" i="45"/>
  <c r="AK151" i="45"/>
  <c r="AL147" i="45"/>
  <c r="AK147" i="45"/>
  <c r="AL143" i="45"/>
  <c r="AK143" i="45"/>
  <c r="AL139" i="45"/>
  <c r="AK139" i="45"/>
  <c r="AL135" i="45"/>
  <c r="AK135" i="45"/>
  <c r="AL131" i="45"/>
  <c r="AK131" i="45"/>
  <c r="AL127" i="45"/>
  <c r="AK127" i="45"/>
  <c r="AL150" i="45"/>
  <c r="AK150" i="45"/>
  <c r="AK146" i="45"/>
  <c r="AL146" i="45"/>
  <c r="AL142" i="45"/>
  <c r="AK142" i="45"/>
  <c r="AL138" i="45"/>
  <c r="AK138" i="45"/>
  <c r="AL134" i="45"/>
  <c r="AK134" i="45"/>
  <c r="AK126" i="45"/>
  <c r="AL126" i="45"/>
  <c r="AK149" i="45"/>
  <c r="AL149" i="45"/>
  <c r="AL145" i="45"/>
  <c r="AK145" i="45"/>
  <c r="AK141" i="45"/>
  <c r="AL141" i="45"/>
  <c r="AK137" i="45"/>
  <c r="AL137" i="45"/>
  <c r="AL133" i="45"/>
  <c r="AK133" i="45"/>
  <c r="AK129" i="45"/>
  <c r="AL129" i="45"/>
  <c r="AK125" i="45"/>
  <c r="AL125" i="45"/>
  <c r="AL122" i="45"/>
  <c r="AK122" i="45"/>
  <c r="AK148" i="45"/>
  <c r="AL148" i="45"/>
  <c r="AL144" i="45"/>
  <c r="AK144" i="45"/>
  <c r="AK140" i="45"/>
  <c r="AL140" i="45"/>
  <c r="AL136" i="45"/>
  <c r="AK136" i="45"/>
  <c r="AL132" i="45"/>
  <c r="AK132" i="45"/>
  <c r="AK128" i="45"/>
  <c r="AL128" i="45"/>
  <c r="AL124" i="45"/>
  <c r="AK124" i="45"/>
  <c r="AQ98" i="45"/>
  <c r="AQ97" i="45"/>
  <c r="G130" i="45"/>
  <c r="G123" i="45"/>
  <c r="N51" i="51" l="1"/>
  <c r="G125" i="45"/>
  <c r="G128" i="45"/>
  <c r="G122" i="45"/>
  <c r="G129" i="45"/>
  <c r="G126" i="45"/>
  <c r="G127" i="45"/>
  <c r="G124" i="45"/>
  <c r="M52" i="51"/>
  <c r="L38" i="51"/>
  <c r="K34" i="51"/>
  <c r="D114" i="45"/>
  <c r="D110" i="45"/>
  <c r="D112" i="45"/>
  <c r="D113" i="45"/>
  <c r="D115" i="45"/>
  <c r="D109" i="45"/>
  <c r="D106" i="45"/>
  <c r="D108" i="45"/>
  <c r="D105" i="45"/>
  <c r="H233" i="45"/>
  <c r="I233" i="45" s="1"/>
  <c r="H234" i="45"/>
  <c r="H235" i="45"/>
  <c r="H236" i="45"/>
  <c r="J236" i="45" s="1"/>
  <c r="H237" i="45"/>
  <c r="I237" i="45" s="1"/>
  <c r="H238" i="45"/>
  <c r="H239" i="45"/>
  <c r="H240" i="45"/>
  <c r="J240" i="45" s="1"/>
  <c r="H241" i="45"/>
  <c r="I241" i="45" s="1"/>
  <c r="H242" i="45"/>
  <c r="H243" i="45"/>
  <c r="H244" i="45"/>
  <c r="J244" i="45" s="1"/>
  <c r="H245" i="45"/>
  <c r="I245" i="45" s="1"/>
  <c r="H246" i="45"/>
  <c r="AK218" i="45"/>
  <c r="AK219" i="45"/>
  <c r="AK220" i="45"/>
  <c r="AK221" i="45"/>
  <c r="AK222" i="45"/>
  <c r="AK223" i="45"/>
  <c r="AK224" i="45"/>
  <c r="AK225" i="45"/>
  <c r="AK226" i="45"/>
  <c r="AK227" i="45"/>
  <c r="AK228" i="45"/>
  <c r="AK229" i="45"/>
  <c r="AK230" i="45"/>
  <c r="AK231" i="45"/>
  <c r="AK232" i="45"/>
  <c r="AK233" i="45"/>
  <c r="AK234" i="45"/>
  <c r="AK235" i="45"/>
  <c r="AK236" i="45"/>
  <c r="AK237" i="45"/>
  <c r="AK238" i="45"/>
  <c r="AK239" i="45"/>
  <c r="AK240" i="45"/>
  <c r="AK241" i="45"/>
  <c r="AK242" i="45"/>
  <c r="AK243" i="45"/>
  <c r="AK244" i="45"/>
  <c r="AK245" i="45"/>
  <c r="AK246" i="45"/>
  <c r="AK217" i="45"/>
  <c r="I209" i="45"/>
  <c r="H209" i="45"/>
  <c r="G209" i="45"/>
  <c r="F209" i="45"/>
  <c r="E209" i="45"/>
  <c r="N52" i="51" l="1"/>
  <c r="F92" i="45"/>
  <c r="H232" i="45"/>
  <c r="H217" i="45"/>
  <c r="J217" i="45" s="1"/>
  <c r="K217" i="45" s="1"/>
  <c r="M53" i="51"/>
  <c r="K35" i="51"/>
  <c r="L39" i="51"/>
  <c r="D111" i="45"/>
  <c r="H231" i="45"/>
  <c r="I231" i="45" s="1"/>
  <c r="J231" i="45" s="1"/>
  <c r="K231" i="45" s="1"/>
  <c r="H227" i="45"/>
  <c r="I227" i="45" s="1"/>
  <c r="H223" i="45"/>
  <c r="I223" i="45" s="1"/>
  <c r="J223" i="45" s="1"/>
  <c r="M223" i="45" s="1"/>
  <c r="L223" i="45" s="1"/>
  <c r="H222" i="45"/>
  <c r="I222" i="45" s="1"/>
  <c r="J222" i="45" s="1"/>
  <c r="M222" i="45" s="1"/>
  <c r="L222" i="45" s="1"/>
  <c r="H228" i="45"/>
  <c r="J228" i="45" s="1"/>
  <c r="H224" i="45"/>
  <c r="J224" i="45" s="1"/>
  <c r="H220" i="45"/>
  <c r="H219" i="45"/>
  <c r="I219" i="45" s="1"/>
  <c r="J219" i="45" s="1"/>
  <c r="M219" i="45" s="1"/>
  <c r="L219" i="45" s="1"/>
  <c r="H230" i="45"/>
  <c r="I230" i="45" s="1"/>
  <c r="J230" i="45" s="1"/>
  <c r="K230" i="45" s="1"/>
  <c r="H226" i="45"/>
  <c r="J226" i="45" s="1"/>
  <c r="K226" i="45" s="1"/>
  <c r="H218" i="45"/>
  <c r="H229" i="45"/>
  <c r="I229" i="45" s="1"/>
  <c r="H225" i="45"/>
  <c r="I225" i="45" s="1"/>
  <c r="H221" i="45"/>
  <c r="M244" i="45"/>
  <c r="L244" i="45" s="1"/>
  <c r="N244" i="45" s="1"/>
  <c r="M240" i="45"/>
  <c r="L240" i="45" s="1"/>
  <c r="N240" i="45" s="1"/>
  <c r="AO240" i="45" s="1"/>
  <c r="M236" i="45"/>
  <c r="L236" i="45" s="1"/>
  <c r="N236" i="45" s="1"/>
  <c r="AO236" i="45" s="1"/>
  <c r="I244" i="45"/>
  <c r="I240" i="45"/>
  <c r="I236" i="45"/>
  <c r="I232" i="45"/>
  <c r="J232" i="45" s="1"/>
  <c r="J243" i="45"/>
  <c r="K243" i="45" s="1"/>
  <c r="J239" i="45"/>
  <c r="K239" i="45" s="1"/>
  <c r="J235" i="45"/>
  <c r="K235" i="45" s="1"/>
  <c r="I243" i="45"/>
  <c r="I239" i="45"/>
  <c r="I235" i="45"/>
  <c r="J246" i="45"/>
  <c r="K246" i="45" s="1"/>
  <c r="J242" i="45"/>
  <c r="K242" i="45" s="1"/>
  <c r="J238" i="45"/>
  <c r="M238" i="45" s="1"/>
  <c r="L238" i="45" s="1"/>
  <c r="N238" i="45" s="1"/>
  <c r="J234" i="45"/>
  <c r="K234" i="45" s="1"/>
  <c r="K244" i="45"/>
  <c r="K240" i="45"/>
  <c r="K236" i="45"/>
  <c r="I246" i="45"/>
  <c r="I242" i="45"/>
  <c r="I238" i="45"/>
  <c r="I234" i="45"/>
  <c r="J245" i="45"/>
  <c r="K245" i="45" s="1"/>
  <c r="J241" i="45"/>
  <c r="K241" i="45" s="1"/>
  <c r="J237" i="45"/>
  <c r="K237" i="45" s="1"/>
  <c r="J233" i="45"/>
  <c r="K233" i="45" s="1"/>
  <c r="E256" i="45"/>
  <c r="D256" i="45"/>
  <c r="N53" i="51" l="1"/>
  <c r="I226" i="45"/>
  <c r="K224" i="45"/>
  <c r="I217" i="45"/>
  <c r="M232" i="45"/>
  <c r="L232" i="45" s="1"/>
  <c r="K232" i="45"/>
  <c r="M54" i="51"/>
  <c r="L40" i="51"/>
  <c r="K36" i="51"/>
  <c r="I218" i="45"/>
  <c r="J218" i="45" s="1"/>
  <c r="M218" i="45" s="1"/>
  <c r="L218" i="45" s="1"/>
  <c r="K228" i="45"/>
  <c r="M228" i="45"/>
  <c r="L228" i="45" s="1"/>
  <c r="N228" i="45" s="1"/>
  <c r="AP228" i="45" s="1"/>
  <c r="I228" i="45"/>
  <c r="J229" i="45"/>
  <c r="K229" i="45" s="1"/>
  <c r="I224" i="45"/>
  <c r="M224" i="45"/>
  <c r="L224" i="45" s="1"/>
  <c r="N224" i="45" s="1"/>
  <c r="AP224" i="45" s="1"/>
  <c r="J225" i="45"/>
  <c r="K225" i="45" s="1"/>
  <c r="J227" i="45"/>
  <c r="K227" i="45" s="1"/>
  <c r="K222" i="45"/>
  <c r="N222" i="45" s="1"/>
  <c r="M233" i="45"/>
  <c r="L233" i="45" s="1"/>
  <c r="N233" i="45" s="1"/>
  <c r="M234" i="45"/>
  <c r="L234" i="45" s="1"/>
  <c r="N234" i="45" s="1"/>
  <c r="M235" i="45"/>
  <c r="L235" i="45" s="1"/>
  <c r="N235" i="45" s="1"/>
  <c r="K238" i="45"/>
  <c r="M237" i="45"/>
  <c r="L237" i="45" s="1"/>
  <c r="N237" i="45" s="1"/>
  <c r="M239" i="45"/>
  <c r="L239" i="45" s="1"/>
  <c r="N239" i="45" s="1"/>
  <c r="M241" i="45"/>
  <c r="L241" i="45" s="1"/>
  <c r="N241" i="45" s="1"/>
  <c r="M226" i="45"/>
  <c r="L226" i="45" s="1"/>
  <c r="N226" i="45" s="1"/>
  <c r="M242" i="45"/>
  <c r="L242" i="45" s="1"/>
  <c r="N242" i="45" s="1"/>
  <c r="M243" i="45"/>
  <c r="L243" i="45" s="1"/>
  <c r="N243" i="45" s="1"/>
  <c r="AO243" i="45" s="1"/>
  <c r="M245" i="45"/>
  <c r="L245" i="45" s="1"/>
  <c r="N245" i="45" s="1"/>
  <c r="M230" i="45"/>
  <c r="L230" i="45" s="1"/>
  <c r="N230" i="45" s="1"/>
  <c r="M246" i="45"/>
  <c r="L246" i="45" s="1"/>
  <c r="N246" i="45" s="1"/>
  <c r="AN246" i="45" s="1"/>
  <c r="M231" i="45"/>
  <c r="L231" i="45" s="1"/>
  <c r="N231" i="45" s="1"/>
  <c r="M217" i="45"/>
  <c r="L217" i="45" s="1"/>
  <c r="N217" i="45" s="1"/>
  <c r="AO217" i="45" s="1"/>
  <c r="K223" i="45"/>
  <c r="N223" i="45" s="1"/>
  <c r="AP223" i="45" s="1"/>
  <c r="K219" i="45"/>
  <c r="N219" i="45" s="1"/>
  <c r="I220" i="45"/>
  <c r="J220" i="45" s="1"/>
  <c r="M220" i="45" s="1"/>
  <c r="L220" i="45" s="1"/>
  <c r="I221" i="45"/>
  <c r="J221" i="45" s="1"/>
  <c r="M221" i="45" s="1"/>
  <c r="L221" i="45" s="1"/>
  <c r="AN238" i="45"/>
  <c r="AM238" i="45"/>
  <c r="AN244" i="45"/>
  <c r="AM244" i="45"/>
  <c r="AL240" i="45"/>
  <c r="AO244" i="45"/>
  <c r="AP244" i="45"/>
  <c r="AN240" i="45"/>
  <c r="AM240" i="45"/>
  <c r="AL238" i="45"/>
  <c r="AP240" i="45"/>
  <c r="AN236" i="45"/>
  <c r="AM236" i="45"/>
  <c r="AL244" i="45"/>
  <c r="AL236" i="45"/>
  <c r="AO238" i="45"/>
  <c r="AP238" i="45"/>
  <c r="AP236" i="45"/>
  <c r="N54" i="51" l="1"/>
  <c r="T46" i="45"/>
  <c r="T47" i="45"/>
  <c r="N232" i="45"/>
  <c r="AP232" i="45" s="1"/>
  <c r="M55" i="51"/>
  <c r="K37" i="51"/>
  <c r="L41" i="51"/>
  <c r="T42" i="45"/>
  <c r="K218" i="45"/>
  <c r="M229" i="45"/>
  <c r="L229" i="45" s="1"/>
  <c r="N229" i="45" s="1"/>
  <c r="AN229" i="45" s="1"/>
  <c r="AN228" i="45"/>
  <c r="AM243" i="45"/>
  <c r="AP243" i="45"/>
  <c r="AO224" i="45"/>
  <c r="AM246" i="45"/>
  <c r="AL228" i="45"/>
  <c r="AL246" i="45"/>
  <c r="AO246" i="45"/>
  <c r="AM228" i="45"/>
  <c r="AO228" i="45"/>
  <c r="AN243" i="45"/>
  <c r="AP246" i="45"/>
  <c r="AN224" i="45"/>
  <c r="AM224" i="45"/>
  <c r="AL224" i="45"/>
  <c r="AL243" i="45"/>
  <c r="M227" i="45"/>
  <c r="L227" i="45" s="1"/>
  <c r="N227" i="45" s="1"/>
  <c r="AP227" i="45" s="1"/>
  <c r="M225" i="45"/>
  <c r="L225" i="45" s="1"/>
  <c r="N225" i="45" s="1"/>
  <c r="AN225" i="45" s="1"/>
  <c r="N218" i="45"/>
  <c r="AP218" i="45" s="1"/>
  <c r="AP217" i="45"/>
  <c r="AM217" i="45"/>
  <c r="AL217" i="45"/>
  <c r="AN217" i="45"/>
  <c r="AO223" i="45"/>
  <c r="AN223" i="45"/>
  <c r="AM223" i="45"/>
  <c r="AL223" i="45"/>
  <c r="K221" i="45"/>
  <c r="N221" i="45" s="1"/>
  <c r="K220" i="45"/>
  <c r="N220" i="45" s="1"/>
  <c r="AN219" i="45"/>
  <c r="AP219" i="45"/>
  <c r="AM219" i="45"/>
  <c r="AO219" i="45"/>
  <c r="AL219" i="45"/>
  <c r="AP233" i="45"/>
  <c r="AL233" i="45"/>
  <c r="AO233" i="45"/>
  <c r="AN233" i="45"/>
  <c r="AM233" i="45"/>
  <c r="AP237" i="45"/>
  <c r="AL237" i="45"/>
  <c r="AN237" i="45"/>
  <c r="AO237" i="45"/>
  <c r="AM237" i="45"/>
  <c r="AP231" i="45"/>
  <c r="AL231" i="45"/>
  <c r="AO231" i="45"/>
  <c r="AM231" i="45"/>
  <c r="AN231" i="45"/>
  <c r="AN242" i="45"/>
  <c r="AM242" i="45"/>
  <c r="AO242" i="45"/>
  <c r="AP242" i="45"/>
  <c r="AL242" i="45"/>
  <c r="AN226" i="45"/>
  <c r="AM226" i="45"/>
  <c r="AO226" i="45"/>
  <c r="AP226" i="45"/>
  <c r="AL226" i="45"/>
  <c r="AP235" i="45"/>
  <c r="AL235" i="45"/>
  <c r="AM235" i="45"/>
  <c r="AN235" i="45"/>
  <c r="AO235" i="45"/>
  <c r="AP239" i="45"/>
  <c r="AL239" i="45"/>
  <c r="AN239" i="45"/>
  <c r="AO239" i="45"/>
  <c r="AM239" i="45"/>
  <c r="AP245" i="45"/>
  <c r="AL245" i="45"/>
  <c r="AO245" i="45"/>
  <c r="AN245" i="45"/>
  <c r="AM245" i="45"/>
  <c r="AN222" i="45"/>
  <c r="AM222" i="45"/>
  <c r="AP222" i="45"/>
  <c r="AO222" i="45"/>
  <c r="AL222" i="45"/>
  <c r="AN234" i="45"/>
  <c r="AM234" i="45"/>
  <c r="AO234" i="45"/>
  <c r="AP234" i="45"/>
  <c r="AL234" i="45"/>
  <c r="AP241" i="45"/>
  <c r="AL241" i="45"/>
  <c r="AN241" i="45"/>
  <c r="AO241" i="45"/>
  <c r="AM241" i="45"/>
  <c r="AN230" i="45"/>
  <c r="AM230" i="45"/>
  <c r="AO230" i="45"/>
  <c r="AL230" i="45"/>
  <c r="AP230" i="45"/>
  <c r="D7" i="48"/>
  <c r="Y2" i="51"/>
  <c r="N55" i="51" l="1"/>
  <c r="AL232" i="45"/>
  <c r="AM232" i="45"/>
  <c r="AO232" i="45"/>
  <c r="AN232" i="45"/>
  <c r="AP220" i="45"/>
  <c r="AL220" i="45"/>
  <c r="AO220" i="45"/>
  <c r="AM220" i="45"/>
  <c r="AN220" i="45"/>
  <c r="AM229" i="45"/>
  <c r="AP229" i="45"/>
  <c r="AL229" i="45"/>
  <c r="AO229" i="45"/>
  <c r="M56" i="51"/>
  <c r="K38" i="51"/>
  <c r="L42" i="51"/>
  <c r="AL218" i="45"/>
  <c r="AM225" i="45"/>
  <c r="AM218" i="45"/>
  <c r="AL225" i="45"/>
  <c r="AN218" i="45"/>
  <c r="AM227" i="45"/>
  <c r="AO218" i="45"/>
  <c r="AN227" i="45"/>
  <c r="AP225" i="45"/>
  <c r="AL227" i="45"/>
  <c r="AO225" i="45"/>
  <c r="AO227" i="45"/>
  <c r="AL221" i="45"/>
  <c r="AP221" i="45"/>
  <c r="AM221" i="45"/>
  <c r="AO221" i="45"/>
  <c r="AN221" i="45"/>
  <c r="N56" i="51" l="1"/>
  <c r="M57" i="51"/>
  <c r="L43" i="51"/>
  <c r="K39" i="51"/>
  <c r="D199" i="45"/>
  <c r="K92" i="45"/>
  <c r="C198" i="45"/>
  <c r="C201" i="45"/>
  <c r="D200" i="45"/>
  <c r="D197" i="45"/>
  <c r="C197" i="45"/>
  <c r="D198" i="45"/>
  <c r="C200" i="45"/>
  <c r="C199" i="45"/>
  <c r="D201" i="45"/>
  <c r="N57" i="51" l="1"/>
  <c r="M58" i="51"/>
  <c r="K40" i="51"/>
  <c r="L44" i="51"/>
  <c r="T49" i="45"/>
  <c r="T48" i="45"/>
  <c r="C196" i="45"/>
  <c r="T58" i="45" s="1"/>
  <c r="D196" i="45"/>
  <c r="Y2" i="45"/>
  <c r="AC65" i="45"/>
  <c r="AC64" i="45"/>
  <c r="AC63" i="45"/>
  <c r="AC62" i="45"/>
  <c r="AC58" i="45"/>
  <c r="AC57" i="45"/>
  <c r="AC56" i="45"/>
  <c r="AC55" i="45"/>
  <c r="AC54" i="45"/>
  <c r="AC53" i="45"/>
  <c r="AC49" i="45"/>
  <c r="AC48" i="45"/>
  <c r="AC47" i="45"/>
  <c r="AC46" i="45"/>
  <c r="AC43" i="45"/>
  <c r="AC42" i="45"/>
  <c r="AC35" i="45"/>
  <c r="AC34" i="45"/>
  <c r="AC33" i="45"/>
  <c r="AC32" i="45"/>
  <c r="AC31" i="45"/>
  <c r="AC30" i="45"/>
  <c r="AC29" i="45"/>
  <c r="AC28" i="45"/>
  <c r="W65" i="45"/>
  <c r="W64" i="45"/>
  <c r="W63" i="45"/>
  <c r="W62" i="45"/>
  <c r="W58" i="45"/>
  <c r="W57" i="45"/>
  <c r="W56" i="45"/>
  <c r="W55" i="45"/>
  <c r="W54" i="45"/>
  <c r="W53" i="45"/>
  <c r="W49" i="45"/>
  <c r="W48" i="45"/>
  <c r="W47" i="45"/>
  <c r="W46" i="45"/>
  <c r="W43" i="45"/>
  <c r="W42" i="45"/>
  <c r="W41" i="45"/>
  <c r="W40" i="45"/>
  <c r="W39" i="45"/>
  <c r="W38" i="45"/>
  <c r="W35" i="45"/>
  <c r="W34" i="45"/>
  <c r="W33" i="45"/>
  <c r="W32" i="45"/>
  <c r="W31" i="45"/>
  <c r="W30" i="45"/>
  <c r="W29" i="45"/>
  <c r="W28" i="45"/>
  <c r="T63" i="45"/>
  <c r="T43" i="45"/>
  <c r="T41" i="45"/>
  <c r="T33" i="45"/>
  <c r="T29" i="45"/>
  <c r="T28" i="45"/>
  <c r="T65" i="45"/>
  <c r="T64" i="45"/>
  <c r="T62" i="45"/>
  <c r="T40" i="45"/>
  <c r="T35" i="45"/>
  <c r="T34" i="45"/>
  <c r="T32" i="45"/>
  <c r="T31" i="45"/>
  <c r="T30" i="45"/>
  <c r="Y2" i="46"/>
  <c r="AC42" i="46"/>
  <c r="AC41" i="46"/>
  <c r="AC31" i="46"/>
  <c r="AC30" i="46"/>
  <c r="AC29" i="46"/>
  <c r="AC28" i="46"/>
  <c r="AC27" i="46"/>
  <c r="AC26" i="46"/>
  <c r="AC25" i="46"/>
  <c r="AC24" i="46"/>
  <c r="W42" i="46"/>
  <c r="W41" i="46"/>
  <c r="W31" i="46"/>
  <c r="W30" i="46"/>
  <c r="W29" i="46"/>
  <c r="W28" i="46"/>
  <c r="W40" i="46"/>
  <c r="W39" i="46"/>
  <c r="W38" i="46"/>
  <c r="W37" i="46"/>
  <c r="W36" i="46"/>
  <c r="W27" i="46"/>
  <c r="W26" i="46"/>
  <c r="W25" i="46"/>
  <c r="W24" i="46"/>
  <c r="W23" i="46"/>
  <c r="W22" i="46"/>
  <c r="T42" i="46"/>
  <c r="T41" i="46"/>
  <c r="T31" i="46"/>
  <c r="T30" i="46"/>
  <c r="T29" i="46"/>
  <c r="T28" i="46"/>
  <c r="T40" i="46"/>
  <c r="T39" i="46"/>
  <c r="T38" i="46"/>
  <c r="T37" i="46"/>
  <c r="T36" i="46"/>
  <c r="T35" i="46"/>
  <c r="T27" i="46"/>
  <c r="T26" i="46"/>
  <c r="Z2" i="47"/>
  <c r="H92" i="47"/>
  <c r="H93" i="47" s="1"/>
  <c r="O8" i="47" s="1"/>
  <c r="BC16" i="47"/>
  <c r="BC17" i="47" s="1"/>
  <c r="BC18" i="47" s="1"/>
  <c r="BC19" i="47" s="1"/>
  <c r="BC20" i="47" s="1"/>
  <c r="BC21" i="47" s="1"/>
  <c r="BC22" i="47" s="1"/>
  <c r="BC23" i="47" s="1"/>
  <c r="BC24" i="47" s="1"/>
  <c r="BC25" i="47" s="1"/>
  <c r="BC26" i="47" s="1"/>
  <c r="BC27" i="47" s="1"/>
  <c r="BC28" i="47" s="1"/>
  <c r="BC29" i="47" s="1"/>
  <c r="BC30" i="47" s="1"/>
  <c r="BC31" i="47" s="1"/>
  <c r="BC32" i="47" s="1"/>
  <c r="BC33" i="47" s="1"/>
  <c r="BC34" i="47" s="1"/>
  <c r="BC35" i="47" s="1"/>
  <c r="BC36" i="47" s="1"/>
  <c r="BC37" i="47" s="1"/>
  <c r="BC38" i="47" s="1"/>
  <c r="BC39" i="47" s="1"/>
  <c r="BC40" i="47" s="1"/>
  <c r="BC41" i="47" s="1"/>
  <c r="BC42" i="47" s="1"/>
  <c r="BC43" i="47" s="1"/>
  <c r="BC44" i="47" s="1"/>
  <c r="V47" i="47"/>
  <c r="Y47" i="47" s="1"/>
  <c r="V46" i="47"/>
  <c r="Y46" i="47" s="1"/>
  <c r="V45" i="47"/>
  <c r="Y45" i="47" s="1"/>
  <c r="V44" i="47"/>
  <c r="Y44" i="47" s="1"/>
  <c r="V43" i="47"/>
  <c r="Y43" i="47" s="1"/>
  <c r="V42" i="47"/>
  <c r="Y42" i="47" s="1"/>
  <c r="V41" i="47"/>
  <c r="Y41" i="47" s="1"/>
  <c r="V40" i="47"/>
  <c r="Y40" i="47" s="1"/>
  <c r="V39" i="47"/>
  <c r="Y39" i="47" s="1"/>
  <c r="V38" i="47"/>
  <c r="Y38" i="47" s="1"/>
  <c r="V37" i="47"/>
  <c r="Y37" i="47" s="1"/>
  <c r="V36" i="47"/>
  <c r="Y36" i="47" s="1"/>
  <c r="V35" i="47"/>
  <c r="Y35" i="47" s="1"/>
  <c r="V34" i="47"/>
  <c r="Y34" i="47" s="1"/>
  <c r="V33" i="47"/>
  <c r="Y33" i="47" s="1"/>
  <c r="V32" i="47"/>
  <c r="Y32" i="47" s="1"/>
  <c r="V31" i="47"/>
  <c r="Y31" i="47" s="1"/>
  <c r="V30" i="47"/>
  <c r="Y30" i="47" s="1"/>
  <c r="V29" i="47"/>
  <c r="Y29" i="47" s="1"/>
  <c r="V28" i="47"/>
  <c r="Y28" i="47" s="1"/>
  <c r="V27" i="47"/>
  <c r="Y27" i="47" s="1"/>
  <c r="V26" i="47"/>
  <c r="Y26" i="47" s="1"/>
  <c r="V25" i="47"/>
  <c r="Y25" i="47" s="1"/>
  <c r="V24" i="47"/>
  <c r="Y24" i="47" s="1"/>
  <c r="V23" i="47"/>
  <c r="Y23" i="47" s="1"/>
  <c r="V22" i="47"/>
  <c r="Y22" i="47" s="1"/>
  <c r="V21" i="47"/>
  <c r="Y21" i="47" s="1"/>
  <c r="V20" i="47"/>
  <c r="Y20" i="47" s="1"/>
  <c r="V19" i="47"/>
  <c r="Y19" i="47" s="1"/>
  <c r="V18" i="47"/>
  <c r="Y18" i="47" s="1"/>
  <c r="S45" i="47"/>
  <c r="S43" i="47"/>
  <c r="S42" i="47"/>
  <c r="S39" i="47"/>
  <c r="S31" i="47"/>
  <c r="S23" i="47"/>
  <c r="S19" i="47"/>
  <c r="Z18" i="47"/>
  <c r="AO17" i="47"/>
  <c r="AO16" i="47"/>
  <c r="AO15" i="47"/>
  <c r="AO14" i="47"/>
  <c r="E45" i="47"/>
  <c r="E42" i="47"/>
  <c r="E30" i="47"/>
  <c r="E46" i="47"/>
  <c r="E44" i="47"/>
  <c r="E43" i="47"/>
  <c r="E41" i="47"/>
  <c r="E40" i="47"/>
  <c r="E39" i="47"/>
  <c r="E38" i="47"/>
  <c r="E37" i="47"/>
  <c r="E36" i="47"/>
  <c r="E35" i="47"/>
  <c r="E34" i="47"/>
  <c r="E33" i="47"/>
  <c r="E32" i="47"/>
  <c r="E31" i="47"/>
  <c r="E29" i="47"/>
  <c r="E28" i="47"/>
  <c r="E27" i="47"/>
  <c r="E26" i="47"/>
  <c r="E25" i="47"/>
  <c r="E24" i="47"/>
  <c r="E23" i="47"/>
  <c r="E22" i="47"/>
  <c r="E21" i="47"/>
  <c r="E20" i="47"/>
  <c r="E19" i="47"/>
  <c r="E18" i="47"/>
  <c r="N18" i="47" s="1"/>
  <c r="B64" i="47"/>
  <c r="B65" i="47" s="1"/>
  <c r="B66" i="47" s="1"/>
  <c r="B67" i="47" s="1"/>
  <c r="B68" i="47" s="1"/>
  <c r="B69" i="47" s="1"/>
  <c r="B70" i="47" s="1"/>
  <c r="B71" i="47" s="1"/>
  <c r="B72" i="47" s="1"/>
  <c r="B73" i="47" s="1"/>
  <c r="B74" i="47" s="1"/>
  <c r="B75" i="47" s="1"/>
  <c r="B76" i="47" s="1"/>
  <c r="B77" i="47" s="1"/>
  <c r="B78" i="47" s="1"/>
  <c r="B79" i="47" s="1"/>
  <c r="B80" i="47" s="1"/>
  <c r="B81" i="47" s="1"/>
  <c r="B82" i="47" s="1"/>
  <c r="T2" i="43"/>
  <c r="T2" i="41"/>
  <c r="E2" i="44"/>
  <c r="F12" i="44"/>
  <c r="F24" i="44" s="1"/>
  <c r="C2" i="49"/>
  <c r="D4" i="48"/>
  <c r="D5" i="48"/>
  <c r="D6" i="48"/>
  <c r="D9" i="48"/>
  <c r="D10" i="48"/>
  <c r="D11" i="48"/>
  <c r="D12" i="48"/>
  <c r="D13" i="48"/>
  <c r="D3" i="48"/>
  <c r="C24" i="44" l="1"/>
  <c r="F8" i="44" s="1"/>
  <c r="H8" i="44" s="1"/>
  <c r="D2" i="52" s="1"/>
  <c r="C2" i="52" s="1"/>
  <c r="D25" i="42"/>
  <c r="P45" i="47"/>
  <c r="N58" i="51"/>
  <c r="T57" i="45"/>
  <c r="M59" i="51"/>
  <c r="P42" i="47"/>
  <c r="L45" i="51"/>
  <c r="K41" i="51"/>
  <c r="P48" i="47"/>
  <c r="P47" i="47"/>
  <c r="P18" i="47"/>
  <c r="N30" i="47"/>
  <c r="P30" i="47"/>
  <c r="P31" i="47"/>
  <c r="N31" i="47"/>
  <c r="P19" i="47"/>
  <c r="N19" i="47"/>
  <c r="N23" i="47"/>
  <c r="P23" i="47"/>
  <c r="P27" i="47"/>
  <c r="N27" i="47"/>
  <c r="P32" i="47"/>
  <c r="N32" i="47"/>
  <c r="P36" i="47"/>
  <c r="N36" i="47"/>
  <c r="P40" i="47"/>
  <c r="N40" i="47"/>
  <c r="P46" i="47"/>
  <c r="N46" i="47"/>
  <c r="N20" i="47"/>
  <c r="P20" i="47"/>
  <c r="P24" i="47"/>
  <c r="N24" i="47"/>
  <c r="N28" i="47"/>
  <c r="P28" i="47"/>
  <c r="P33" i="47"/>
  <c r="N33" i="47"/>
  <c r="N37" i="47"/>
  <c r="P37" i="47"/>
  <c r="P41" i="47"/>
  <c r="N41" i="47"/>
  <c r="N21" i="47"/>
  <c r="P21" i="47"/>
  <c r="N25" i="47"/>
  <c r="P25" i="47"/>
  <c r="N29" i="47"/>
  <c r="P29" i="47"/>
  <c r="P34" i="47"/>
  <c r="N34" i="47"/>
  <c r="P38" i="47"/>
  <c r="N38" i="47"/>
  <c r="P43" i="47"/>
  <c r="N43" i="47"/>
  <c r="P22" i="47"/>
  <c r="N22" i="47"/>
  <c r="P26" i="47"/>
  <c r="N26" i="47"/>
  <c r="N35" i="47"/>
  <c r="P35" i="47"/>
  <c r="P39" i="47"/>
  <c r="N39" i="47"/>
  <c r="P44" i="47"/>
  <c r="N44" i="47"/>
  <c r="S36" i="47"/>
  <c r="S37" i="47"/>
  <c r="S24" i="47"/>
  <c r="F21" i="47"/>
  <c r="Q21" i="47" s="1"/>
  <c r="F36" i="47"/>
  <c r="F20" i="47"/>
  <c r="F23" i="47"/>
  <c r="Q23" i="47" s="1"/>
  <c r="S25" i="47"/>
  <c r="S40" i="47"/>
  <c r="S20" i="47"/>
  <c r="F18" i="47"/>
  <c r="F19" i="47"/>
  <c r="S34" i="47"/>
  <c r="F25" i="47"/>
  <c r="S18" i="47"/>
  <c r="H11" i="44" l="1"/>
  <c r="D4" i="52" s="1"/>
  <c r="C4" i="52" s="1"/>
  <c r="H10" i="44"/>
  <c r="D3" i="52" s="1"/>
  <c r="C3" i="52" s="1"/>
  <c r="C42" i="42"/>
  <c r="C43" i="42"/>
  <c r="J62" i="45"/>
  <c r="V62" i="45" s="1"/>
  <c r="C62" i="45" s="1"/>
  <c r="O5" i="42"/>
  <c r="C110" i="47"/>
  <c r="C109" i="47"/>
  <c r="C108" i="47"/>
  <c r="C107" i="47"/>
  <c r="C36" i="41"/>
  <c r="C35" i="41"/>
  <c r="C29" i="43"/>
  <c r="C28" i="43"/>
  <c r="N59" i="51"/>
  <c r="Q20" i="47"/>
  <c r="Q18" i="47"/>
  <c r="M60" i="51"/>
  <c r="L46" i="51"/>
  <c r="J33" i="45"/>
  <c r="V33" i="45" s="1"/>
  <c r="Q25" i="47"/>
  <c r="Q19" i="47"/>
  <c r="R21" i="47" s="1"/>
  <c r="K42" i="51"/>
  <c r="F45" i="47"/>
  <c r="F28" i="47"/>
  <c r="Q28" i="47" s="1"/>
  <c r="F31" i="47"/>
  <c r="Q31" i="47" s="1"/>
  <c r="F30" i="47"/>
  <c r="Q30" i="47" s="1"/>
  <c r="F38" i="47"/>
  <c r="F26" i="47"/>
  <c r="Q26" i="47" s="1"/>
  <c r="F37" i="47"/>
  <c r="F24" i="47"/>
  <c r="F43" i="47"/>
  <c r="F27" i="47"/>
  <c r="Q27" i="47" s="1"/>
  <c r="F41" i="47"/>
  <c r="F39" i="47"/>
  <c r="F35" i="47"/>
  <c r="Q35" i="47" s="1"/>
  <c r="F42" i="47"/>
  <c r="F44" i="47"/>
  <c r="F22" i="47"/>
  <c r="F46" i="47"/>
  <c r="F40" i="47"/>
  <c r="F29" i="47"/>
  <c r="F33" i="47"/>
  <c r="Q33" i="47" s="1"/>
  <c r="F34" i="47"/>
  <c r="F32" i="47"/>
  <c r="Q32" i="47" s="1"/>
  <c r="J38" i="46"/>
  <c r="J63" i="45"/>
  <c r="J46" i="45"/>
  <c r="V46" i="45" s="1"/>
  <c r="C46" i="45" s="1"/>
  <c r="J23" i="46"/>
  <c r="V23" i="46" s="1"/>
  <c r="J47" i="45"/>
  <c r="V47" i="45" s="1"/>
  <c r="C47" i="45" s="1"/>
  <c r="J35" i="46"/>
  <c r="V35" i="46" s="1"/>
  <c r="J25" i="46"/>
  <c r="J39" i="45"/>
  <c r="J53" i="45"/>
  <c r="J27" i="46"/>
  <c r="V27" i="46" s="1"/>
  <c r="C27" i="46" s="1"/>
  <c r="C9" i="46" s="1"/>
  <c r="J22" i="46"/>
  <c r="V22" i="46" s="1"/>
  <c r="J30" i="45"/>
  <c r="J30" i="46"/>
  <c r="V30" i="46" s="1"/>
  <c r="C30" i="46" s="1"/>
  <c r="J32" i="45"/>
  <c r="J41" i="46"/>
  <c r="V41" i="46" s="1"/>
  <c r="J42" i="46"/>
  <c r="V42" i="46" s="1"/>
  <c r="J40" i="46"/>
  <c r="V40" i="46" s="1"/>
  <c r="J54" i="45"/>
  <c r="J42" i="45"/>
  <c r="J49" i="45"/>
  <c r="V49" i="45" s="1"/>
  <c r="J29" i="46"/>
  <c r="V29" i="46" s="1"/>
  <c r="C29" i="46" s="1"/>
  <c r="C10" i="46" s="1"/>
  <c r="J64" i="45"/>
  <c r="J41" i="45"/>
  <c r="J31" i="46"/>
  <c r="V31" i="46" s="1"/>
  <c r="J48" i="45"/>
  <c r="V48" i="45" s="1"/>
  <c r="C48" i="45" s="1"/>
  <c r="J24" i="46"/>
  <c r="J43" i="45"/>
  <c r="J36" i="46"/>
  <c r="J40" i="45"/>
  <c r="V40" i="45" s="1"/>
  <c r="J39" i="46"/>
  <c r="V39" i="46" s="1"/>
  <c r="J31" i="45"/>
  <c r="J65" i="45"/>
  <c r="J28" i="45"/>
  <c r="J55" i="45"/>
  <c r="J29" i="45"/>
  <c r="J56" i="45"/>
  <c r="J26" i="46"/>
  <c r="V26" i="46" s="1"/>
  <c r="J34" i="45"/>
  <c r="J57" i="45"/>
  <c r="V57" i="45" s="1"/>
  <c r="C57" i="45" s="1"/>
  <c r="J37" i="46"/>
  <c r="V37" i="46" s="1"/>
  <c r="J35" i="45"/>
  <c r="J58" i="45"/>
  <c r="V58" i="45" s="1"/>
  <c r="C58" i="45" s="1"/>
  <c r="C11" i="45" s="1"/>
  <c r="J28" i="46"/>
  <c r="V28" i="46" s="1"/>
  <c r="C28" i="46" s="1"/>
  <c r="J38" i="45"/>
  <c r="O43" i="42" l="1"/>
  <c r="C35" i="42" s="1"/>
  <c r="O42" i="42"/>
  <c r="C30" i="42" s="1"/>
  <c r="O29" i="43"/>
  <c r="C8" i="43" s="1"/>
  <c r="O108" i="47"/>
  <c r="C7" i="47" s="1"/>
  <c r="O36" i="41"/>
  <c r="O110" i="47"/>
  <c r="C8" i="47" s="1"/>
  <c r="I8" i="47" s="1"/>
  <c r="O109" i="47"/>
  <c r="C101" i="47" s="1"/>
  <c r="D100" i="47" s="1"/>
  <c r="O28" i="43"/>
  <c r="C22" i="43" s="1"/>
  <c r="D21" i="43" s="1"/>
  <c r="D18" i="52" s="1"/>
  <c r="C18" i="52" s="1"/>
  <c r="O107" i="47"/>
  <c r="C99" i="47" s="1"/>
  <c r="O35" i="41"/>
  <c r="C29" i="41" s="1"/>
  <c r="O11" i="46"/>
  <c r="F31" i="46"/>
  <c r="F11" i="46" s="1"/>
  <c r="E31" i="46"/>
  <c r="E11" i="46" s="1"/>
  <c r="G31" i="46"/>
  <c r="G11" i="46" s="1"/>
  <c r="H31" i="46"/>
  <c r="H11" i="46" s="1"/>
  <c r="N11" i="46" s="1"/>
  <c r="D31" i="46"/>
  <c r="D11" i="46" s="1"/>
  <c r="O10" i="46"/>
  <c r="I10" i="46" s="1"/>
  <c r="G29" i="46"/>
  <c r="G10" i="46" s="1"/>
  <c r="H29" i="46"/>
  <c r="H10" i="46" s="1"/>
  <c r="F29" i="46"/>
  <c r="F10" i="46" s="1"/>
  <c r="E29" i="46"/>
  <c r="E10" i="46" s="1"/>
  <c r="K10" i="46" s="1"/>
  <c r="D29" i="46"/>
  <c r="D10" i="46" s="1"/>
  <c r="E63" i="45"/>
  <c r="H63" i="45"/>
  <c r="D63" i="45"/>
  <c r="F63" i="45"/>
  <c r="G63" i="45"/>
  <c r="E49" i="45"/>
  <c r="F49" i="45"/>
  <c r="H49" i="45"/>
  <c r="D49" i="45"/>
  <c r="G49" i="45"/>
  <c r="O11" i="45"/>
  <c r="I11" i="45" s="1"/>
  <c r="F58" i="45"/>
  <c r="F11" i="45" s="1"/>
  <c r="E58" i="45"/>
  <c r="E11" i="45" s="1"/>
  <c r="H58" i="45"/>
  <c r="H11" i="45" s="1"/>
  <c r="D58" i="45"/>
  <c r="D11" i="45" s="1"/>
  <c r="J11" i="45" s="1"/>
  <c r="G58" i="45"/>
  <c r="G11" i="45" s="1"/>
  <c r="F47" i="45"/>
  <c r="E47" i="45"/>
  <c r="D47" i="45"/>
  <c r="G47" i="45"/>
  <c r="H47" i="45"/>
  <c r="N60" i="51"/>
  <c r="V38" i="46"/>
  <c r="C38" i="46" s="1"/>
  <c r="V38" i="45"/>
  <c r="C38" i="45" s="1"/>
  <c r="V39" i="45"/>
  <c r="C39" i="45" s="1"/>
  <c r="V43" i="45"/>
  <c r="C43" i="45" s="1"/>
  <c r="C9" i="45" s="1"/>
  <c r="V41" i="45"/>
  <c r="C41" i="45" s="1"/>
  <c r="V42" i="45"/>
  <c r="C42" i="45" s="1"/>
  <c r="V25" i="46"/>
  <c r="C25" i="46" s="1"/>
  <c r="C8" i="46" s="1"/>
  <c r="V24" i="46"/>
  <c r="C24" i="46" s="1"/>
  <c r="D65" i="46" s="1"/>
  <c r="D12" i="52" s="1"/>
  <c r="C12" i="52" s="1"/>
  <c r="C33" i="45"/>
  <c r="M61" i="51"/>
  <c r="Q24" i="47"/>
  <c r="R32" i="47" s="1"/>
  <c r="S32" i="47" s="1"/>
  <c r="Q22" i="47"/>
  <c r="R22" i="47" s="1"/>
  <c r="Q29" i="47"/>
  <c r="R29" i="47" s="1"/>
  <c r="S29" i="47" s="1"/>
  <c r="L47" i="51"/>
  <c r="K43" i="51"/>
  <c r="Q34" i="47"/>
  <c r="R35" i="47" s="1"/>
  <c r="S35" i="47" s="1"/>
  <c r="V35" i="45"/>
  <c r="C35" i="45" s="1"/>
  <c r="V53" i="45"/>
  <c r="C53" i="45" s="1"/>
  <c r="V65" i="45"/>
  <c r="C65" i="45" s="1"/>
  <c r="V30" i="45"/>
  <c r="C30" i="45" s="1"/>
  <c r="V28" i="45"/>
  <c r="C28" i="45" s="1"/>
  <c r="V56" i="45"/>
  <c r="C56" i="45" s="1"/>
  <c r="V29" i="45"/>
  <c r="C29" i="45" s="1"/>
  <c r="V31" i="45"/>
  <c r="C31" i="45" s="1"/>
  <c r="V34" i="45"/>
  <c r="C34" i="45" s="1"/>
  <c r="V55" i="45"/>
  <c r="C55" i="45" s="1"/>
  <c r="V64" i="45"/>
  <c r="C64" i="45" s="1"/>
  <c r="V54" i="45"/>
  <c r="C54" i="45" s="1"/>
  <c r="V32" i="45"/>
  <c r="C32" i="45" s="1"/>
  <c r="V63" i="45"/>
  <c r="C63" i="45" s="1"/>
  <c r="C23" i="46"/>
  <c r="C7" i="46" s="1"/>
  <c r="C22" i="46"/>
  <c r="R33" i="47"/>
  <c r="S33" i="47" s="1"/>
  <c r="S44" i="47"/>
  <c r="R27" i="47"/>
  <c r="S41" i="47"/>
  <c r="S46" i="47"/>
  <c r="S26" i="47"/>
  <c r="S38" i="47"/>
  <c r="S21" i="47"/>
  <c r="C35" i="46"/>
  <c r="C49" i="45"/>
  <c r="C41" i="46"/>
  <c r="C40" i="45"/>
  <c r="C42" i="46"/>
  <c r="C13" i="46" s="1"/>
  <c r="C39" i="46"/>
  <c r="C31" i="46"/>
  <c r="C11" i="46" s="1"/>
  <c r="I11" i="46" s="1"/>
  <c r="C40" i="46"/>
  <c r="V36" i="46"/>
  <c r="C36" i="46" s="1"/>
  <c r="C26" i="46"/>
  <c r="C37" i="46"/>
  <c r="N11" i="45" l="1"/>
  <c r="L10" i="46"/>
  <c r="M11" i="45"/>
  <c r="L11" i="45"/>
  <c r="J10" i="46"/>
  <c r="M10" i="46"/>
  <c r="I8" i="43"/>
  <c r="C62" i="42"/>
  <c r="I62" i="42" s="1"/>
  <c r="M11" i="46"/>
  <c r="K11" i="46"/>
  <c r="J11" i="46"/>
  <c r="L11" i="46"/>
  <c r="K11" i="45"/>
  <c r="N10" i="46"/>
  <c r="C6" i="47"/>
  <c r="C8" i="41"/>
  <c r="C63" i="42" s="1"/>
  <c r="C37" i="45"/>
  <c r="C8" i="45" s="1"/>
  <c r="O7" i="46"/>
  <c r="I7" i="46" s="1"/>
  <c r="F23" i="46"/>
  <c r="F7" i="46" s="1"/>
  <c r="E23" i="46"/>
  <c r="E7" i="46" s="1"/>
  <c r="H23" i="46"/>
  <c r="H7" i="46" s="1"/>
  <c r="D23" i="46"/>
  <c r="D7" i="46" s="1"/>
  <c r="J7" i="46" s="1"/>
  <c r="G23" i="46"/>
  <c r="G7" i="46" s="1"/>
  <c r="M7" i="46" s="1"/>
  <c r="O9" i="46"/>
  <c r="I9" i="46" s="1"/>
  <c r="H27" i="46"/>
  <c r="H9" i="46" s="1"/>
  <c r="D27" i="46"/>
  <c r="D9" i="46" s="1"/>
  <c r="G27" i="46"/>
  <c r="G9" i="46" s="1"/>
  <c r="E27" i="46"/>
  <c r="E9" i="46" s="1"/>
  <c r="K9" i="46" s="1"/>
  <c r="F27" i="46"/>
  <c r="F9" i="46" s="1"/>
  <c r="E36" i="46"/>
  <c r="H36" i="46"/>
  <c r="D36" i="46"/>
  <c r="G36" i="46"/>
  <c r="F36" i="46"/>
  <c r="G40" i="46"/>
  <c r="F40" i="46"/>
  <c r="H40" i="46"/>
  <c r="E40" i="46"/>
  <c r="D40" i="46"/>
  <c r="H38" i="46"/>
  <c r="D38" i="46"/>
  <c r="E38" i="46"/>
  <c r="G38" i="46"/>
  <c r="F38" i="46"/>
  <c r="O13" i="46"/>
  <c r="I13" i="46" s="1"/>
  <c r="F42" i="46"/>
  <c r="F13" i="46" s="1"/>
  <c r="G42" i="46"/>
  <c r="G13" i="46" s="1"/>
  <c r="E42" i="46"/>
  <c r="E13" i="46" s="1"/>
  <c r="H42" i="46"/>
  <c r="H13" i="46" s="1"/>
  <c r="N13" i="46" s="1"/>
  <c r="D42" i="46"/>
  <c r="D13" i="46" s="1"/>
  <c r="O8" i="46"/>
  <c r="I8" i="46" s="1"/>
  <c r="E25" i="46"/>
  <c r="E8" i="46" s="1"/>
  <c r="F25" i="46"/>
  <c r="F8" i="46" s="1"/>
  <c r="H25" i="46"/>
  <c r="H8" i="46" s="1"/>
  <c r="D25" i="46"/>
  <c r="D8" i="46" s="1"/>
  <c r="J8" i="46" s="1"/>
  <c r="G25" i="46"/>
  <c r="G8" i="46" s="1"/>
  <c r="G33" i="45"/>
  <c r="D33" i="45"/>
  <c r="F33" i="45"/>
  <c r="E33" i="45"/>
  <c r="H33" i="45"/>
  <c r="H31" i="45"/>
  <c r="D31" i="45"/>
  <c r="F31" i="45"/>
  <c r="G31" i="45"/>
  <c r="E31" i="45"/>
  <c r="H41" i="45"/>
  <c r="D41" i="45"/>
  <c r="E41" i="45"/>
  <c r="G41" i="45"/>
  <c r="F41" i="45"/>
  <c r="H65" i="45"/>
  <c r="D65" i="45"/>
  <c r="E65" i="45"/>
  <c r="G65" i="45"/>
  <c r="F65" i="45"/>
  <c r="O9" i="45"/>
  <c r="I9" i="45" s="1"/>
  <c r="G43" i="45"/>
  <c r="G9" i="45" s="1"/>
  <c r="F43" i="45"/>
  <c r="F9" i="45" s="1"/>
  <c r="E43" i="45"/>
  <c r="E9" i="45" s="1"/>
  <c r="D43" i="45"/>
  <c r="D9" i="45" s="1"/>
  <c r="J9" i="45" s="1"/>
  <c r="H43" i="45"/>
  <c r="H9" i="45" s="1"/>
  <c r="E39" i="45"/>
  <c r="H39" i="45"/>
  <c r="D39" i="45"/>
  <c r="G39" i="45"/>
  <c r="F39" i="45"/>
  <c r="G56" i="45"/>
  <c r="H56" i="45"/>
  <c r="F56" i="45"/>
  <c r="D56" i="45"/>
  <c r="E56" i="45"/>
  <c r="H54" i="45"/>
  <c r="D54" i="45"/>
  <c r="G54" i="45"/>
  <c r="F54" i="45"/>
  <c r="E54" i="45"/>
  <c r="F35" i="45"/>
  <c r="D35" i="45"/>
  <c r="E35" i="45"/>
  <c r="G35" i="45"/>
  <c r="H35" i="45"/>
  <c r="D29" i="45"/>
  <c r="H29" i="45"/>
  <c r="E29" i="45"/>
  <c r="F29" i="45"/>
  <c r="G29" i="45"/>
  <c r="N61" i="51"/>
  <c r="C25" i="45"/>
  <c r="C36" i="45"/>
  <c r="O8" i="45" s="1"/>
  <c r="B14" i="45" s="1"/>
  <c r="D8" i="52" s="1"/>
  <c r="C8" i="52" s="1"/>
  <c r="M62" i="51"/>
  <c r="L48" i="51"/>
  <c r="K44" i="51"/>
  <c r="C52" i="45"/>
  <c r="C27" i="45"/>
  <c r="C26" i="45"/>
  <c r="C61" i="45"/>
  <c r="C24" i="45"/>
  <c r="Z27" i="47"/>
  <c r="Z21" i="47"/>
  <c r="Z22" i="47"/>
  <c r="Z38" i="47"/>
  <c r="R28" i="47"/>
  <c r="Z28" i="47" s="1"/>
  <c r="Z41" i="47"/>
  <c r="Z46" i="47"/>
  <c r="Z29" i="47"/>
  <c r="Z33" i="47"/>
  <c r="Z35" i="47"/>
  <c r="R30" i="47"/>
  <c r="Z30" i="47" s="1"/>
  <c r="Z47" i="47"/>
  <c r="Z44" i="47"/>
  <c r="Z32" i="47"/>
  <c r="S27" i="47"/>
  <c r="S22" i="47"/>
  <c r="C34" i="46"/>
  <c r="G37" i="45" l="1"/>
  <c r="G8" i="45" s="1"/>
  <c r="M8" i="45" s="1"/>
  <c r="L8" i="46"/>
  <c r="N7" i="46"/>
  <c r="K7" i="46"/>
  <c r="L9" i="45"/>
  <c r="M13" i="46"/>
  <c r="N9" i="45"/>
  <c r="M9" i="45"/>
  <c r="N8" i="46"/>
  <c r="J13" i="46"/>
  <c r="L13" i="46"/>
  <c r="K9" i="45"/>
  <c r="M8" i="46"/>
  <c r="K8" i="46"/>
  <c r="K13" i="46"/>
  <c r="M9" i="46"/>
  <c r="L7" i="46"/>
  <c r="J9" i="46"/>
  <c r="L9" i="46"/>
  <c r="N9" i="46"/>
  <c r="I8" i="45"/>
  <c r="F37" i="45"/>
  <c r="F8" i="45" s="1"/>
  <c r="L8" i="45" s="1"/>
  <c r="G25" i="45"/>
  <c r="E27" i="45"/>
  <c r="E25" i="45"/>
  <c r="D37" i="45"/>
  <c r="D8" i="45" s="1"/>
  <c r="J8" i="45" s="1"/>
  <c r="D25" i="45"/>
  <c r="E37" i="45"/>
  <c r="E8" i="45" s="1"/>
  <c r="K8" i="45" s="1"/>
  <c r="F25" i="45"/>
  <c r="H27" i="45"/>
  <c r="H25" i="45"/>
  <c r="F27" i="45"/>
  <c r="H33" i="46"/>
  <c r="H12" i="46" s="1"/>
  <c r="D33" i="46"/>
  <c r="D12" i="46" s="1"/>
  <c r="G33" i="46"/>
  <c r="G12" i="46" s="1"/>
  <c r="C33" i="46"/>
  <c r="C12" i="46" s="1"/>
  <c r="F33" i="46"/>
  <c r="F12" i="46" s="1"/>
  <c r="E33" i="46"/>
  <c r="E12" i="46" s="1"/>
  <c r="C51" i="45"/>
  <c r="C45" i="45" s="1"/>
  <c r="C10" i="45" s="1"/>
  <c r="F51" i="45"/>
  <c r="F45" i="45" s="1"/>
  <c r="F10" i="45" s="1"/>
  <c r="E51" i="45"/>
  <c r="E45" i="45" s="1"/>
  <c r="E10" i="45" s="1"/>
  <c r="G51" i="45"/>
  <c r="G45" i="45" s="1"/>
  <c r="G10" i="45" s="1"/>
  <c r="H51" i="45"/>
  <c r="H45" i="45" s="1"/>
  <c r="H10" i="45" s="1"/>
  <c r="D51" i="45"/>
  <c r="D45" i="45" s="1"/>
  <c r="D10" i="45" s="1"/>
  <c r="D27" i="45"/>
  <c r="C60" i="45"/>
  <c r="C12" i="45" s="1"/>
  <c r="G60" i="45"/>
  <c r="G12" i="45" s="1"/>
  <c r="F60" i="45"/>
  <c r="F12" i="45" s="1"/>
  <c r="D60" i="45"/>
  <c r="D12" i="45" s="1"/>
  <c r="E60" i="45"/>
  <c r="E12" i="45" s="1"/>
  <c r="H60" i="45"/>
  <c r="H12" i="45" s="1"/>
  <c r="H37" i="45"/>
  <c r="H8" i="45" s="1"/>
  <c r="N8" i="45" s="1"/>
  <c r="G27" i="45"/>
  <c r="N62" i="51"/>
  <c r="M63" i="51"/>
  <c r="C23" i="45"/>
  <c r="K45" i="51"/>
  <c r="L49" i="51"/>
  <c r="C50" i="45"/>
  <c r="C44" i="45" s="1"/>
  <c r="O10" i="45" s="1"/>
  <c r="C59" i="45"/>
  <c r="O12" i="45" s="1"/>
  <c r="S28" i="47"/>
  <c r="S30" i="47"/>
  <c r="C32" i="46"/>
  <c r="O12" i="46" s="1"/>
  <c r="AZ13" i="47"/>
  <c r="AZ16" i="47" s="1"/>
  <c r="BB15" i="47"/>
  <c r="J12" i="45" l="1"/>
  <c r="K10" i="45"/>
  <c r="N12" i="46"/>
  <c r="H6" i="46" a="1"/>
  <c r="H6" i="46" s="1"/>
  <c r="H61" i="42" s="1"/>
  <c r="I12" i="46"/>
  <c r="C6" i="46" a="1"/>
  <c r="C6" i="46" s="1"/>
  <c r="C61" i="42" s="1"/>
  <c r="L12" i="46"/>
  <c r="F6" i="46" a="1"/>
  <c r="F6" i="46" s="1"/>
  <c r="F61" i="42" s="1"/>
  <c r="M12" i="46"/>
  <c r="G6" i="46" a="1"/>
  <c r="G6" i="46" s="1"/>
  <c r="K12" i="46"/>
  <c r="E6" i="46" a="1"/>
  <c r="E6" i="46" s="1"/>
  <c r="E61" i="42" s="1"/>
  <c r="J12" i="46"/>
  <c r="D6" i="46" a="1"/>
  <c r="D6" i="46" s="1"/>
  <c r="L12" i="45"/>
  <c r="J10" i="45"/>
  <c r="L10" i="45"/>
  <c r="N12" i="45"/>
  <c r="M12" i="45"/>
  <c r="N10" i="45"/>
  <c r="I10" i="45"/>
  <c r="K12" i="45"/>
  <c r="I12" i="45"/>
  <c r="M10" i="45"/>
  <c r="P7" i="45"/>
  <c r="V7" i="45" s="1"/>
  <c r="H22" i="45"/>
  <c r="H7" i="45" s="1"/>
  <c r="D22" i="45"/>
  <c r="D7" i="45" s="1"/>
  <c r="G22" i="45"/>
  <c r="G7" i="45" s="1"/>
  <c r="E22" i="45"/>
  <c r="E7" i="45" s="1"/>
  <c r="F22" i="45"/>
  <c r="F7" i="45" s="1"/>
  <c r="N63" i="51"/>
  <c r="C21" i="45"/>
  <c r="C22" i="45"/>
  <c r="C7" i="45" s="1"/>
  <c r="M64" i="51"/>
  <c r="L50" i="51"/>
  <c r="K46" i="51"/>
  <c r="O6" i="46" a="1"/>
  <c r="O6" i="46" s="1"/>
  <c r="O61" i="42" s="1"/>
  <c r="C7" i="42" s="1"/>
  <c r="Q6" i="46"/>
  <c r="BB16" i="47"/>
  <c r="AZ17" i="47"/>
  <c r="AZ18" i="47" s="1"/>
  <c r="M6" i="46" l="1"/>
  <c r="I6" i="46"/>
  <c r="G61" i="42"/>
  <c r="M61" i="42" s="1"/>
  <c r="J6" i="46"/>
  <c r="K6" i="46"/>
  <c r="N6" i="46"/>
  <c r="L6" i="46"/>
  <c r="D61" i="42"/>
  <c r="J61" i="42" s="1"/>
  <c r="T9" i="45"/>
  <c r="N61" i="42"/>
  <c r="K61" i="42"/>
  <c r="I61" i="42"/>
  <c r="L61" i="42"/>
  <c r="Q61" i="42"/>
  <c r="W7" i="45"/>
  <c r="T8" i="45"/>
  <c r="U7" i="45"/>
  <c r="T10" i="45"/>
  <c r="N64" i="51"/>
  <c r="M65" i="51"/>
  <c r="K47" i="51"/>
  <c r="L51" i="51"/>
  <c r="P6" i="46"/>
  <c r="P61" i="42" s="1"/>
  <c r="BB17" i="47"/>
  <c r="AZ19" i="47"/>
  <c r="AZ20" i="47" s="1"/>
  <c r="C6" i="45" l="1" a="1"/>
  <c r="C6" i="45" s="1"/>
  <c r="E6" i="45" a="1"/>
  <c r="E6" i="45" s="1"/>
  <c r="E59" i="42" s="1"/>
  <c r="F6" i="45" a="1"/>
  <c r="F6" i="45" s="1"/>
  <c r="F59" i="42" s="1"/>
  <c r="D6" i="45" a="1"/>
  <c r="D6" i="45" s="1"/>
  <c r="H6" i="45" a="1"/>
  <c r="H6" i="45" s="1"/>
  <c r="G6" i="45" a="1"/>
  <c r="G6" i="45" s="1"/>
  <c r="N65" i="51"/>
  <c r="M66" i="51"/>
  <c r="L52" i="51"/>
  <c r="K48" i="51"/>
  <c r="BB18" i="47"/>
  <c r="AZ21" i="47"/>
  <c r="G59" i="42" l="1"/>
  <c r="D59" i="42"/>
  <c r="H59" i="42"/>
  <c r="AR97" i="45"/>
  <c r="N66" i="51"/>
  <c r="M67" i="51"/>
  <c r="L53" i="51"/>
  <c r="K49" i="51"/>
  <c r="BB19" i="47"/>
  <c r="AZ22" i="47"/>
  <c r="N67" i="51" l="1"/>
  <c r="M68" i="51"/>
  <c r="K50" i="51"/>
  <c r="L54" i="51"/>
  <c r="BB20" i="47"/>
  <c r="BB21" i="47" s="1"/>
  <c r="AZ23" i="47"/>
  <c r="N68" i="51" l="1"/>
  <c r="M69" i="51"/>
  <c r="L55" i="51"/>
  <c r="K51" i="51"/>
  <c r="BB22" i="47"/>
  <c r="BB23" i="47" s="1"/>
  <c r="AZ24" i="47"/>
  <c r="N69" i="51" l="1"/>
  <c r="M70" i="51"/>
  <c r="K52" i="51"/>
  <c r="L56" i="51"/>
  <c r="AZ25" i="47"/>
  <c r="BB24" i="47"/>
  <c r="N70" i="51" l="1"/>
  <c r="M71" i="51"/>
  <c r="L57" i="51"/>
  <c r="K53" i="51"/>
  <c r="AZ26" i="47"/>
  <c r="BB25" i="47"/>
  <c r="N71" i="51" l="1"/>
  <c r="M72" i="51"/>
  <c r="K54" i="51"/>
  <c r="L58" i="51"/>
  <c r="AZ27" i="47"/>
  <c r="BB26" i="47"/>
  <c r="N72" i="51" l="1"/>
  <c r="M73" i="51"/>
  <c r="L59" i="51"/>
  <c r="K55" i="51"/>
  <c r="BB27" i="47"/>
  <c r="AZ28" i="47"/>
  <c r="N73" i="51" l="1"/>
  <c r="M74" i="51"/>
  <c r="K56" i="51"/>
  <c r="L60" i="51"/>
  <c r="BB28" i="47"/>
  <c r="AZ29" i="47"/>
  <c r="N74" i="51" l="1"/>
  <c r="M75" i="51"/>
  <c r="L61" i="51"/>
  <c r="K57" i="51"/>
  <c r="AZ30" i="47"/>
  <c r="BB29" i="47"/>
  <c r="BA29" i="47" s="1"/>
  <c r="N75" i="51" l="1"/>
  <c r="M76" i="51"/>
  <c r="K58" i="51"/>
  <c r="L62" i="51"/>
  <c r="BB30" i="47"/>
  <c r="BA30" i="47" s="1"/>
  <c r="AZ31" i="47"/>
  <c r="N76" i="51" l="1"/>
  <c r="M77" i="51"/>
  <c r="L63" i="51"/>
  <c r="K59" i="51"/>
  <c r="BB31" i="47"/>
  <c r="BA31" i="47" s="1"/>
  <c r="AZ32" i="47"/>
  <c r="N77" i="51" l="1"/>
  <c r="M78" i="51"/>
  <c r="K60" i="51"/>
  <c r="L64" i="51"/>
  <c r="AZ33" i="47"/>
  <c r="BB32" i="47"/>
  <c r="BA32" i="47" s="1"/>
  <c r="N78" i="51" l="1"/>
  <c r="M79" i="51"/>
  <c r="L65" i="51"/>
  <c r="K61" i="51"/>
  <c r="AZ34" i="47"/>
  <c r="BB33" i="47"/>
  <c r="BA33" i="47" s="1"/>
  <c r="N79" i="51" l="1"/>
  <c r="M80" i="51"/>
  <c r="K62" i="51"/>
  <c r="L66" i="51"/>
  <c r="AZ35" i="47"/>
  <c r="BB34" i="47"/>
  <c r="BA34" i="47" s="1"/>
  <c r="N80" i="51" l="1"/>
  <c r="M81" i="51"/>
  <c r="L67" i="51"/>
  <c r="K63" i="51"/>
  <c r="BB35" i="47"/>
  <c r="BA35" i="47" s="1"/>
  <c r="AZ36" i="47"/>
  <c r="N81" i="51" l="1"/>
  <c r="M82" i="51"/>
  <c r="K64" i="51"/>
  <c r="L68" i="51"/>
  <c r="BB36" i="47"/>
  <c r="BA36" i="47" s="1"/>
  <c r="AZ37" i="47"/>
  <c r="N82" i="51" l="1"/>
  <c r="M83" i="51"/>
  <c r="L69" i="51"/>
  <c r="K65" i="51"/>
  <c r="BB37" i="47"/>
  <c r="BA37" i="47" s="1"/>
  <c r="AZ38" i="47"/>
  <c r="N83" i="51" l="1"/>
  <c r="M84" i="51"/>
  <c r="K66" i="51"/>
  <c r="L70" i="51"/>
  <c r="AZ39" i="47"/>
  <c r="BB38" i="47"/>
  <c r="BA38" i="47" s="1"/>
  <c r="N84" i="51" l="1"/>
  <c r="M85" i="51"/>
  <c r="L71" i="51"/>
  <c r="K67" i="51"/>
  <c r="BB39" i="47"/>
  <c r="BA39" i="47" s="1"/>
  <c r="AZ40" i="47"/>
  <c r="N85" i="51" l="1"/>
  <c r="M86" i="51"/>
  <c r="K68" i="51"/>
  <c r="L72" i="51"/>
  <c r="AZ41" i="47"/>
  <c r="BB40" i="47"/>
  <c r="BA40" i="47" s="1"/>
  <c r="N86" i="51" l="1"/>
  <c r="M87" i="51"/>
  <c r="L73" i="51"/>
  <c r="K69" i="51"/>
  <c r="BB41" i="47"/>
  <c r="BA41" i="47" s="1"/>
  <c r="AZ42" i="47"/>
  <c r="N87" i="51" l="1"/>
  <c r="M88" i="51"/>
  <c r="K70" i="51"/>
  <c r="L74" i="51"/>
  <c r="AZ43" i="47"/>
  <c r="BB42" i="47"/>
  <c r="BA42" i="47" s="1"/>
  <c r="N88" i="51" l="1"/>
  <c r="M89" i="51"/>
  <c r="L75" i="51"/>
  <c r="K71" i="51"/>
  <c r="BB43" i="47"/>
  <c r="AZ44" i="47"/>
  <c r="N89" i="51" l="1"/>
  <c r="BB44" i="47"/>
  <c r="BA28" i="47" s="1"/>
  <c r="M90" i="51"/>
  <c r="K72" i="51"/>
  <c r="BA23" i="47"/>
  <c r="L76" i="51"/>
  <c r="BA18" i="47"/>
  <c r="BA22" i="47"/>
  <c r="BA43" i="47"/>
  <c r="BA17" i="47"/>
  <c r="BA21" i="47"/>
  <c r="BA26" i="47"/>
  <c r="BA27" i="47"/>
  <c r="BA24" i="47"/>
  <c r="BA19" i="47"/>
  <c r="BA16" i="47"/>
  <c r="BA25" i="47"/>
  <c r="BA20" i="47"/>
  <c r="BA15" i="47"/>
  <c r="N90" i="51" l="1"/>
  <c r="BA44" i="47"/>
  <c r="BD38" i="47" s="1"/>
  <c r="M91" i="51"/>
  <c r="L77" i="51"/>
  <c r="K73" i="51"/>
  <c r="BD39" i="47" l="1"/>
  <c r="BD41" i="47"/>
  <c r="BD20" i="47"/>
  <c r="C68" i="47" s="1"/>
  <c r="Z68" i="47" s="1"/>
  <c r="BD25" i="47"/>
  <c r="C73" i="47" s="1"/>
  <c r="Z73" i="47" s="1"/>
  <c r="BD37" i="47"/>
  <c r="BD22" i="47"/>
  <c r="C70" i="47" s="1"/>
  <c r="Z70" i="47" s="1"/>
  <c r="BD36" i="47"/>
  <c r="BD30" i="47"/>
  <c r="C78" i="47" s="1"/>
  <c r="Z78" i="47" s="1"/>
  <c r="BD35" i="47"/>
  <c r="BD44" i="47"/>
  <c r="BD16" i="47"/>
  <c r="C64" i="47" s="1"/>
  <c r="Z64" i="47" s="1"/>
  <c r="BD28" i="47"/>
  <c r="C76" i="47" s="1"/>
  <c r="Z76" i="47" s="1"/>
  <c r="BD17" i="47"/>
  <c r="C65" i="47" s="1"/>
  <c r="Z65" i="47" s="1"/>
  <c r="BD43" i="47"/>
  <c r="N91" i="51"/>
  <c r="BD31" i="47"/>
  <c r="C79" i="47" s="1"/>
  <c r="Z79" i="47" s="1"/>
  <c r="BD32" i="47"/>
  <c r="C80" i="47" s="1"/>
  <c r="Z80" i="47" s="1"/>
  <c r="BD34" i="47"/>
  <c r="C82" i="47" s="1"/>
  <c r="Z82" i="47" s="1"/>
  <c r="BD21" i="47"/>
  <c r="C69" i="47" s="1"/>
  <c r="Z69" i="47" s="1"/>
  <c r="BD29" i="47"/>
  <c r="C77" i="47" s="1"/>
  <c r="Z77" i="47" s="1"/>
  <c r="BD26" i="47"/>
  <c r="C74" i="47" s="1"/>
  <c r="Z74" i="47" s="1"/>
  <c r="BD24" i="47"/>
  <c r="C72" i="47" s="1"/>
  <c r="Z72" i="47" s="1"/>
  <c r="BD40" i="47"/>
  <c r="BD27" i="47"/>
  <c r="C75" i="47" s="1"/>
  <c r="Z75" i="47" s="1"/>
  <c r="BD15" i="47"/>
  <c r="C63" i="47" s="1"/>
  <c r="E63" i="47" s="1"/>
  <c r="BD23" i="47"/>
  <c r="C71" i="47" s="1"/>
  <c r="Z71" i="47" s="1"/>
  <c r="BD42" i="47"/>
  <c r="BD18" i="47"/>
  <c r="C66" i="47" s="1"/>
  <c r="Z66" i="47" s="1"/>
  <c r="BD33" i="47"/>
  <c r="C81" i="47" s="1"/>
  <c r="Z81" i="47" s="1"/>
  <c r="BD19" i="47"/>
  <c r="C67" i="47" s="1"/>
  <c r="Z67" i="47" s="1"/>
  <c r="M92" i="51"/>
  <c r="K74" i="51"/>
  <c r="L78" i="51"/>
  <c r="K62" i="47" l="1"/>
  <c r="Z63" i="47"/>
  <c r="D73" i="47"/>
  <c r="E68" i="47"/>
  <c r="P62" i="47"/>
  <c r="P69" i="47" s="1"/>
  <c r="D68" i="47"/>
  <c r="E73" i="47"/>
  <c r="D65" i="47"/>
  <c r="E65" i="47"/>
  <c r="D70" i="47"/>
  <c r="H62" i="47"/>
  <c r="H70" i="47" s="1"/>
  <c r="E70" i="47"/>
  <c r="M62" i="47"/>
  <c r="M66" i="47" s="1"/>
  <c r="D64" i="47"/>
  <c r="D78" i="47"/>
  <c r="E64" i="47"/>
  <c r="I62" i="47"/>
  <c r="I70" i="47" s="1"/>
  <c r="E78" i="47"/>
  <c r="E76" i="47"/>
  <c r="U62" i="47"/>
  <c r="U77" i="47" s="1"/>
  <c r="D63" i="47"/>
  <c r="D80" i="47"/>
  <c r="F62" i="47"/>
  <c r="F78" i="47" s="1"/>
  <c r="G62" i="47"/>
  <c r="G76" i="47" s="1"/>
  <c r="Q62" i="47"/>
  <c r="Q80" i="47" s="1"/>
  <c r="D79" i="47"/>
  <c r="E74" i="47"/>
  <c r="E81" i="47"/>
  <c r="D76" i="47"/>
  <c r="S62" i="47"/>
  <c r="S79" i="47" s="1"/>
  <c r="D74" i="47"/>
  <c r="E79" i="47"/>
  <c r="D66" i="47"/>
  <c r="D75" i="47"/>
  <c r="T62" i="47"/>
  <c r="T76" i="47" s="1"/>
  <c r="R62" i="47"/>
  <c r="R78" i="47" s="1"/>
  <c r="E77" i="47"/>
  <c r="E66" i="47"/>
  <c r="F66" i="47"/>
  <c r="E75" i="47"/>
  <c r="E82" i="47"/>
  <c r="D77" i="47"/>
  <c r="E80" i="47"/>
  <c r="X62" i="47"/>
  <c r="X80" i="47" s="1"/>
  <c r="J62" i="47"/>
  <c r="J74" i="47" s="1"/>
  <c r="D72" i="47"/>
  <c r="D69" i="47"/>
  <c r="L62" i="47"/>
  <c r="L65" i="47" s="1"/>
  <c r="E69" i="47"/>
  <c r="N92" i="51"/>
  <c r="V62" i="47"/>
  <c r="V71" i="47" s="1"/>
  <c r="E72" i="47"/>
  <c r="E67" i="47"/>
  <c r="D71" i="47"/>
  <c r="O62" i="47"/>
  <c r="O76" i="47" s="1"/>
  <c r="D82" i="47"/>
  <c r="W62" i="47"/>
  <c r="W69" i="47" s="1"/>
  <c r="D81" i="47"/>
  <c r="D67" i="47"/>
  <c r="E71" i="47"/>
  <c r="N62" i="47"/>
  <c r="N75" i="47" s="1"/>
  <c r="Y62" i="47"/>
  <c r="Y80" i="47" s="1"/>
  <c r="M93" i="51"/>
  <c r="L79" i="51"/>
  <c r="K75" i="51"/>
  <c r="K74" i="47"/>
  <c r="K71" i="47"/>
  <c r="K67" i="47"/>
  <c r="K81" i="47"/>
  <c r="K66" i="47"/>
  <c r="K70" i="47"/>
  <c r="K73" i="47"/>
  <c r="K77" i="47"/>
  <c r="K72" i="47"/>
  <c r="K69" i="47"/>
  <c r="K64" i="47"/>
  <c r="K68" i="47"/>
  <c r="K63" i="47"/>
  <c r="K82" i="47"/>
  <c r="K78" i="47"/>
  <c r="K76" i="47"/>
  <c r="K80" i="47"/>
  <c r="K75" i="47"/>
  <c r="K65" i="47"/>
  <c r="K79" i="47"/>
  <c r="T69" i="47" l="1"/>
  <c r="H66" i="47"/>
  <c r="M65" i="47"/>
  <c r="P64" i="47"/>
  <c r="G77" i="47"/>
  <c r="U79" i="47"/>
  <c r="G66" i="47"/>
  <c r="P74" i="47"/>
  <c r="M67" i="47"/>
  <c r="P70" i="47"/>
  <c r="U80" i="47"/>
  <c r="P75" i="47"/>
  <c r="G65" i="47"/>
  <c r="M82" i="47"/>
  <c r="P63" i="47"/>
  <c r="P71" i="47"/>
  <c r="M69" i="47"/>
  <c r="P73" i="47"/>
  <c r="P66" i="47"/>
  <c r="M76" i="47"/>
  <c r="M75" i="47"/>
  <c r="P78" i="47"/>
  <c r="P77" i="47"/>
  <c r="M78" i="47"/>
  <c r="P82" i="47"/>
  <c r="P76" i="47"/>
  <c r="P68" i="47"/>
  <c r="P67" i="47"/>
  <c r="P80" i="47"/>
  <c r="M74" i="47"/>
  <c r="I67" i="47"/>
  <c r="M79" i="47"/>
  <c r="M63" i="47"/>
  <c r="P79" i="47"/>
  <c r="P72" i="47"/>
  <c r="P81" i="47"/>
  <c r="P65" i="47"/>
  <c r="H77" i="47"/>
  <c r="H74" i="47"/>
  <c r="H75" i="47"/>
  <c r="H69" i="47"/>
  <c r="H81" i="47"/>
  <c r="H82" i="47"/>
  <c r="H76" i="47"/>
  <c r="H79" i="47"/>
  <c r="H65" i="47"/>
  <c r="H63" i="47"/>
  <c r="H67" i="47"/>
  <c r="H64" i="47"/>
  <c r="H73" i="47"/>
  <c r="H68" i="47"/>
  <c r="H72" i="47"/>
  <c r="H71" i="47"/>
  <c r="H78" i="47"/>
  <c r="H80" i="47"/>
  <c r="M81" i="47"/>
  <c r="G70" i="47"/>
  <c r="U75" i="47"/>
  <c r="M80" i="47"/>
  <c r="M73" i="47"/>
  <c r="M77" i="47"/>
  <c r="M72" i="47"/>
  <c r="U76" i="47"/>
  <c r="U72" i="47"/>
  <c r="M68" i="47"/>
  <c r="M70" i="47"/>
  <c r="M71" i="47"/>
  <c r="M64" i="47"/>
  <c r="G78" i="47"/>
  <c r="F74" i="47"/>
  <c r="T81" i="47"/>
  <c r="S75" i="47"/>
  <c r="F70" i="47"/>
  <c r="T70" i="47"/>
  <c r="F82" i="47"/>
  <c r="F63" i="47"/>
  <c r="T65" i="47"/>
  <c r="F73" i="47"/>
  <c r="Q82" i="47"/>
  <c r="N73" i="47"/>
  <c r="U63" i="47"/>
  <c r="U74" i="47"/>
  <c r="N68" i="47"/>
  <c r="I76" i="47"/>
  <c r="G63" i="47"/>
  <c r="G69" i="47"/>
  <c r="I78" i="47"/>
  <c r="U68" i="47"/>
  <c r="U71" i="47"/>
  <c r="U69" i="47"/>
  <c r="I64" i="47"/>
  <c r="I81" i="47"/>
  <c r="G74" i="47"/>
  <c r="G71" i="47"/>
  <c r="Q71" i="47"/>
  <c r="N67" i="47"/>
  <c r="I79" i="47"/>
  <c r="I65" i="47"/>
  <c r="Q69" i="47"/>
  <c r="Q72" i="47"/>
  <c r="Q79" i="47"/>
  <c r="U66" i="47"/>
  <c r="U70" i="47"/>
  <c r="U82" i="47"/>
  <c r="U78" i="47"/>
  <c r="U81" i="47"/>
  <c r="J66" i="47"/>
  <c r="N79" i="47"/>
  <c r="I77" i="47"/>
  <c r="I71" i="47"/>
  <c r="I63" i="47"/>
  <c r="I75" i="47"/>
  <c r="I68" i="47"/>
  <c r="J72" i="47"/>
  <c r="G80" i="47"/>
  <c r="G81" i="47"/>
  <c r="G79" i="47"/>
  <c r="G72" i="47"/>
  <c r="G64" i="47"/>
  <c r="Q77" i="47"/>
  <c r="Q75" i="47"/>
  <c r="Q73" i="47"/>
  <c r="Q81" i="47"/>
  <c r="N71" i="47"/>
  <c r="I72" i="47"/>
  <c r="I80" i="47"/>
  <c r="J79" i="47"/>
  <c r="U67" i="47"/>
  <c r="U64" i="47"/>
  <c r="U65" i="47"/>
  <c r="U73" i="47"/>
  <c r="N66" i="47"/>
  <c r="N69" i="47"/>
  <c r="I74" i="47"/>
  <c r="I73" i="47"/>
  <c r="I82" i="47"/>
  <c r="I66" i="47"/>
  <c r="I69" i="47"/>
  <c r="W80" i="47"/>
  <c r="G75" i="47"/>
  <c r="G73" i="47"/>
  <c r="G67" i="47"/>
  <c r="G68" i="47"/>
  <c r="G82" i="47"/>
  <c r="Q68" i="47"/>
  <c r="Q78" i="47"/>
  <c r="S70" i="47"/>
  <c r="S68" i="47"/>
  <c r="T72" i="47"/>
  <c r="F68" i="47"/>
  <c r="F80" i="47"/>
  <c r="T68" i="47"/>
  <c r="F81" i="47"/>
  <c r="F75" i="47"/>
  <c r="F64" i="47"/>
  <c r="F79" i="47"/>
  <c r="F65" i="47"/>
  <c r="S76" i="47"/>
  <c r="F77" i="47"/>
  <c r="F67" i="47"/>
  <c r="F76" i="47"/>
  <c r="T79" i="47"/>
  <c r="T77" i="47"/>
  <c r="F72" i="47"/>
  <c r="F69" i="47"/>
  <c r="F71" i="47"/>
  <c r="S64" i="47"/>
  <c r="T78" i="47"/>
  <c r="S71" i="47"/>
  <c r="S67" i="47"/>
  <c r="S73" i="47"/>
  <c r="Q74" i="47"/>
  <c r="N72" i="47"/>
  <c r="N74" i="47"/>
  <c r="W71" i="47"/>
  <c r="J77" i="47"/>
  <c r="S69" i="47"/>
  <c r="S65" i="47"/>
  <c r="S82" i="47"/>
  <c r="S78" i="47"/>
  <c r="S74" i="47"/>
  <c r="Q64" i="47"/>
  <c r="Q63" i="47"/>
  <c r="Q76" i="47"/>
  <c r="S80" i="47"/>
  <c r="S77" i="47"/>
  <c r="N81" i="47"/>
  <c r="N80" i="47"/>
  <c r="Q67" i="47"/>
  <c r="N63" i="47"/>
  <c r="N70" i="47"/>
  <c r="N78" i="47"/>
  <c r="N65" i="47"/>
  <c r="W72" i="47"/>
  <c r="Q65" i="47"/>
  <c r="S66" i="47"/>
  <c r="S81" i="47"/>
  <c r="S63" i="47"/>
  <c r="S72" i="47"/>
  <c r="J70" i="47"/>
  <c r="Q70" i="47"/>
  <c r="Q66" i="47"/>
  <c r="X73" i="47"/>
  <c r="R66" i="47"/>
  <c r="X75" i="47"/>
  <c r="T80" i="47"/>
  <c r="R73" i="47"/>
  <c r="X72" i="47"/>
  <c r="R76" i="47"/>
  <c r="R79" i="47"/>
  <c r="X78" i="47"/>
  <c r="R81" i="47"/>
  <c r="R71" i="47"/>
  <c r="R65" i="47"/>
  <c r="X69" i="47"/>
  <c r="X66" i="47"/>
  <c r="X77" i="47"/>
  <c r="R69" i="47"/>
  <c r="T73" i="47"/>
  <c r="R77" i="47"/>
  <c r="R80" i="47"/>
  <c r="R74" i="47"/>
  <c r="Y63" i="47"/>
  <c r="X63" i="47"/>
  <c r="X82" i="47"/>
  <c r="X79" i="47"/>
  <c r="X65" i="47"/>
  <c r="X68" i="47"/>
  <c r="T71" i="47"/>
  <c r="R70" i="47"/>
  <c r="R75" i="47"/>
  <c r="R82" i="47"/>
  <c r="R67" i="47"/>
  <c r="X67" i="47"/>
  <c r="X70" i="47"/>
  <c r="T63" i="47"/>
  <c r="T75" i="47"/>
  <c r="T82" i="47"/>
  <c r="T74" i="47"/>
  <c r="T67" i="47"/>
  <c r="T66" i="47"/>
  <c r="R64" i="47"/>
  <c r="R68" i="47"/>
  <c r="R63" i="47"/>
  <c r="R72" i="47"/>
  <c r="X71" i="47"/>
  <c r="X64" i="47"/>
  <c r="X81" i="47"/>
  <c r="X74" i="47"/>
  <c r="T64" i="47"/>
  <c r="X76" i="47"/>
  <c r="J80" i="47"/>
  <c r="J69" i="47"/>
  <c r="J65" i="47"/>
  <c r="J71" i="47"/>
  <c r="J75" i="47"/>
  <c r="J82" i="47"/>
  <c r="J63" i="47"/>
  <c r="J64" i="47"/>
  <c r="J78" i="47"/>
  <c r="J67" i="47"/>
  <c r="J68" i="47"/>
  <c r="J73" i="47"/>
  <c r="J81" i="47"/>
  <c r="J76" i="47"/>
  <c r="V72" i="47"/>
  <c r="L77" i="47"/>
  <c r="O67" i="47"/>
  <c r="L70" i="47"/>
  <c r="V75" i="47"/>
  <c r="L82" i="47"/>
  <c r="V66" i="47"/>
  <c r="V67" i="47"/>
  <c r="V79" i="47"/>
  <c r="L72" i="47"/>
  <c r="L80" i="47"/>
  <c r="L69" i="47"/>
  <c r="Y65" i="47"/>
  <c r="O81" i="47"/>
  <c r="V69" i="47"/>
  <c r="V77" i="47"/>
  <c r="L68" i="47"/>
  <c r="O68" i="47"/>
  <c r="V81" i="47"/>
  <c r="L76" i="47"/>
  <c r="L75" i="47"/>
  <c r="L73" i="47"/>
  <c r="O64" i="47"/>
  <c r="O70" i="47"/>
  <c r="V70" i="47"/>
  <c r="F53" i="47"/>
  <c r="V68" i="47"/>
  <c r="V74" i="47"/>
  <c r="L63" i="47"/>
  <c r="L64" i="47"/>
  <c r="L67" i="47"/>
  <c r="L79" i="47"/>
  <c r="L71" i="47"/>
  <c r="O79" i="47"/>
  <c r="O72" i="47"/>
  <c r="V64" i="47"/>
  <c r="V63" i="47"/>
  <c r="V65" i="47"/>
  <c r="V80" i="47"/>
  <c r="V82" i="47"/>
  <c r="L66" i="47"/>
  <c r="L78" i="47"/>
  <c r="L81" i="47"/>
  <c r="L74" i="47"/>
  <c r="O63" i="47"/>
  <c r="O66" i="47"/>
  <c r="V78" i="47"/>
  <c r="E83" i="47"/>
  <c r="N93" i="51"/>
  <c r="W74" i="47"/>
  <c r="W76" i="47"/>
  <c r="W68" i="47"/>
  <c r="W64" i="47"/>
  <c r="N82" i="47"/>
  <c r="N77" i="47"/>
  <c r="N64" i="47"/>
  <c r="N76" i="47"/>
  <c r="W79" i="47"/>
  <c r="W81" i="47"/>
  <c r="W63" i="47"/>
  <c r="W78" i="47"/>
  <c r="W70" i="47"/>
  <c r="W75" i="47"/>
  <c r="W82" i="47"/>
  <c r="D83" i="47"/>
  <c r="D85" i="47" s="1"/>
  <c r="W77" i="47"/>
  <c r="W65" i="47"/>
  <c r="W66" i="47"/>
  <c r="W73" i="47"/>
  <c r="W67" i="47"/>
  <c r="V73" i="47"/>
  <c r="V76" i="47"/>
  <c r="Y74" i="47"/>
  <c r="Y70" i="47"/>
  <c r="Y68" i="47"/>
  <c r="Y69" i="47"/>
  <c r="Y82" i="47"/>
  <c r="Y67" i="47"/>
  <c r="Y78" i="47"/>
  <c r="O80" i="47"/>
  <c r="Y76" i="47"/>
  <c r="Y75" i="47"/>
  <c r="Y79" i="47"/>
  <c r="O73" i="47"/>
  <c r="O75" i="47"/>
  <c r="O78" i="47"/>
  <c r="O82" i="47"/>
  <c r="O74" i="47"/>
  <c r="Y71" i="47"/>
  <c r="Y77" i="47"/>
  <c r="Y81" i="47"/>
  <c r="Y72" i="47"/>
  <c r="Y73" i="47"/>
  <c r="O69" i="47"/>
  <c r="O77" i="47"/>
  <c r="O65" i="47"/>
  <c r="O71" i="47"/>
  <c r="Y64" i="47"/>
  <c r="Y66" i="47"/>
  <c r="M94" i="51"/>
  <c r="L80" i="51"/>
  <c r="K76" i="51"/>
  <c r="F52" i="47" l="1" a="1"/>
  <c r="F52" i="47" s="1"/>
  <c r="F54" i="47" s="1"/>
  <c r="F55" i="47" s="1"/>
  <c r="F56" i="47" s="1"/>
  <c r="F57" i="47" s="1"/>
  <c r="I57" i="47" s="1"/>
  <c r="N94" i="51"/>
  <c r="M95" i="51"/>
  <c r="K77" i="51"/>
  <c r="L81" i="51"/>
  <c r="O7" i="47" l="1"/>
  <c r="C98" i="47"/>
  <c r="D98" i="47" s="1"/>
  <c r="D10" i="52" s="1"/>
  <c r="C10" i="52" s="1"/>
  <c r="N95" i="51"/>
  <c r="M96" i="51"/>
  <c r="L82" i="51"/>
  <c r="K78" i="51"/>
  <c r="C60" i="42"/>
  <c r="H7" i="47" l="1"/>
  <c r="F7" i="47"/>
  <c r="D7" i="47"/>
  <c r="G7" i="47"/>
  <c r="E7" i="47"/>
  <c r="I7" i="47"/>
  <c r="O6" i="47"/>
  <c r="Q6" i="47"/>
  <c r="Q60" i="42" s="1"/>
  <c r="N96" i="51"/>
  <c r="M97" i="51"/>
  <c r="K79" i="51"/>
  <c r="L83" i="51"/>
  <c r="O60" i="42" l="1"/>
  <c r="C6" i="42" s="1"/>
  <c r="I6" i="47"/>
  <c r="J7" i="47"/>
  <c r="D6" i="47"/>
  <c r="J6" i="47" s="1"/>
  <c r="L7" i="47"/>
  <c r="F6" i="47"/>
  <c r="L6" i="47" s="1"/>
  <c r="M7" i="47"/>
  <c r="G6" i="47"/>
  <c r="M6" i="47" s="1"/>
  <c r="K7" i="47"/>
  <c r="E6" i="47"/>
  <c r="K6" i="47" s="1"/>
  <c r="N7" i="47"/>
  <c r="H6" i="47"/>
  <c r="N6" i="47" s="1"/>
  <c r="I60" i="42"/>
  <c r="P6" i="47"/>
  <c r="P60" i="42" s="1"/>
  <c r="N97" i="51"/>
  <c r="M98" i="51"/>
  <c r="L84" i="51"/>
  <c r="K80" i="51"/>
  <c r="E60" i="42" l="1"/>
  <c r="K60" i="42" s="1"/>
  <c r="G60" i="42"/>
  <c r="M60" i="42" s="1"/>
  <c r="F60" i="42"/>
  <c r="L60" i="42" s="1"/>
  <c r="H60" i="42"/>
  <c r="N60" i="42" s="1"/>
  <c r="D60" i="42"/>
  <c r="J60" i="42" s="1"/>
  <c r="N98" i="51"/>
  <c r="M99" i="51"/>
  <c r="K81" i="51"/>
  <c r="L85" i="51"/>
  <c r="N99" i="51" l="1"/>
  <c r="F6" i="51"/>
  <c r="L86" i="51"/>
  <c r="K82" i="51"/>
  <c r="G6" i="51" l="1"/>
  <c r="K83" i="51"/>
  <c r="L87" i="51"/>
  <c r="O7" i="45"/>
  <c r="M7" i="45" l="1"/>
  <c r="N7" i="45"/>
  <c r="I7" i="45"/>
  <c r="K7" i="45"/>
  <c r="J7" i="45"/>
  <c r="L7" i="45"/>
  <c r="Q6" i="45"/>
  <c r="L88" i="51"/>
  <c r="K84" i="51"/>
  <c r="O6" i="45" a="1"/>
  <c r="O6" i="45" s="1"/>
  <c r="O59" i="42" l="1"/>
  <c r="C5" i="42" s="1"/>
  <c r="C9" i="42" s="1" a="1"/>
  <c r="C9" i="42" s="1"/>
  <c r="C14" i="41" s="1"/>
  <c r="C28" i="41" s="1"/>
  <c r="D28" i="41" s="1"/>
  <c r="D19" i="52" s="1"/>
  <c r="C19" i="52" s="1"/>
  <c r="I6" i="45"/>
  <c r="J6" i="45"/>
  <c r="K6" i="45"/>
  <c r="L6" i="45"/>
  <c r="M6" i="45"/>
  <c r="N6" i="45"/>
  <c r="Q59" i="42"/>
  <c r="K85" i="51"/>
  <c r="L89" i="51"/>
  <c r="P6" i="45"/>
  <c r="P59" i="42" s="1"/>
  <c r="M59" i="42" l="1"/>
  <c r="K59" i="42"/>
  <c r="L59" i="42"/>
  <c r="J59" i="42"/>
  <c r="N59" i="42"/>
  <c r="L90" i="51"/>
  <c r="K86" i="51"/>
  <c r="L91" i="51" l="1"/>
  <c r="K87" i="51"/>
  <c r="K88" i="51" l="1"/>
  <c r="L92" i="51"/>
  <c r="O8" i="41" l="1"/>
  <c r="L93" i="51"/>
  <c r="K89" i="51"/>
  <c r="C59" i="42"/>
  <c r="F8" i="41" l="1"/>
  <c r="L8" i="41" s="1"/>
  <c r="G8" i="41"/>
  <c r="M8" i="41" s="1"/>
  <c r="E8" i="41"/>
  <c r="K8" i="41" s="1"/>
  <c r="H8" i="41"/>
  <c r="N8" i="41" s="1"/>
  <c r="D8" i="41"/>
  <c r="J8" i="41" s="1"/>
  <c r="I8" i="41"/>
  <c r="C58" i="42" a="1"/>
  <c r="C58" i="42" s="1"/>
  <c r="I59" i="42"/>
  <c r="Q63" i="42"/>
  <c r="O63" i="42"/>
  <c r="K90" i="51"/>
  <c r="L94" i="51"/>
  <c r="I63" i="42" l="1"/>
  <c r="C10" i="42"/>
  <c r="E63" i="42"/>
  <c r="D63" i="42"/>
  <c r="F63" i="42"/>
  <c r="H63" i="42"/>
  <c r="G63" i="42"/>
  <c r="P63" i="42"/>
  <c r="O58" i="42" a="1"/>
  <c r="O58" i="42" s="1"/>
  <c r="AR98" i="45"/>
  <c r="K91" i="51"/>
  <c r="L95" i="51"/>
  <c r="O35" i="42" l="1"/>
  <c r="I35" i="42" s="1"/>
  <c r="C29" i="42"/>
  <c r="D29" i="42" s="1"/>
  <c r="D7" i="52" s="1"/>
  <c r="C7" i="52" s="1"/>
  <c r="G58" i="42" a="1"/>
  <c r="G58" i="42" s="1"/>
  <c r="M58" i="42" s="1"/>
  <c r="I9" i="42" s="1"/>
  <c r="M63" i="42"/>
  <c r="F58" i="42" a="1"/>
  <c r="F58" i="42" s="1"/>
  <c r="L58" i="42" s="1"/>
  <c r="I8" i="42" s="1"/>
  <c r="L63" i="42"/>
  <c r="E58" i="42" a="1"/>
  <c r="E58" i="42" s="1"/>
  <c r="K58" i="42" s="1"/>
  <c r="I7" i="42" s="1"/>
  <c r="K63" i="42"/>
  <c r="H58" i="42" a="1"/>
  <c r="H58" i="42" s="1"/>
  <c r="N58" i="42" s="1"/>
  <c r="N63" i="42"/>
  <c r="D58" i="42" a="1"/>
  <c r="D58" i="42" s="1"/>
  <c r="J58" i="42" s="1"/>
  <c r="I6" i="42" s="1"/>
  <c r="J63" i="42"/>
  <c r="I58" i="42"/>
  <c r="K92" i="51"/>
  <c r="L96" i="51"/>
  <c r="F35" i="42" l="1"/>
  <c r="L35" i="42" s="1"/>
  <c r="J8" i="42" s="1"/>
  <c r="H8" i="42" s="1"/>
  <c r="E35" i="42"/>
  <c r="K35" i="42" s="1"/>
  <c r="J7" i="42" s="1"/>
  <c r="H7" i="42" s="1"/>
  <c r="G35" i="42"/>
  <c r="M35" i="42" s="1"/>
  <c r="J9" i="42" s="1"/>
  <c r="H9" i="42" s="1"/>
  <c r="D35" i="42"/>
  <c r="J35" i="42" s="1"/>
  <c r="J6" i="42" s="1"/>
  <c r="H6" i="42" s="1"/>
  <c r="H35" i="42"/>
  <c r="N35" i="42" s="1"/>
  <c r="I11" i="42"/>
  <c r="K93" i="51"/>
  <c r="L97" i="51"/>
  <c r="J11" i="42" l="1"/>
  <c r="J10" i="42" s="1"/>
  <c r="J12" i="42" s="1"/>
  <c r="J14" i="42" s="1"/>
  <c r="I10" i="42"/>
  <c r="L98" i="51"/>
  <c r="K94" i="51"/>
  <c r="H11" i="42" l="1"/>
  <c r="I12" i="42"/>
  <c r="I14" i="42" s="1"/>
  <c r="H10" i="42"/>
  <c r="K95" i="51"/>
  <c r="L99" i="51"/>
  <c r="E6" i="51" s="1"/>
  <c r="H12" i="42" l="1"/>
  <c r="H14" i="42" s="1"/>
  <c r="C11" i="42" s="1"/>
  <c r="C12" i="42" s="1"/>
  <c r="O6" i="42" s="1"/>
  <c r="O7" i="42" s="1"/>
  <c r="K96" i="51"/>
  <c r="C48" i="42" l="1"/>
  <c r="K97" i="51"/>
  <c r="K98" i="51" l="1"/>
  <c r="K99" i="51" l="1"/>
  <c r="D6" i="51" s="1"/>
</calcChain>
</file>

<file path=xl/comments1.xml><?xml version="1.0" encoding="utf-8"?>
<comments xmlns="http://schemas.openxmlformats.org/spreadsheetml/2006/main">
  <authors>
    <author>Author</author>
  </authors>
  <commentList>
    <comment ref="E15" authorId="0" shapeId="0">
      <text>
        <r>
          <rPr>
            <sz val="9"/>
            <color indexed="81"/>
            <rFont val="Tahoma"/>
            <family val="2"/>
          </rPr>
          <t>Should be entered with a negative sign.</t>
        </r>
      </text>
    </comment>
    <comment ref="E17" authorId="0" shapeId="0">
      <text>
        <r>
          <rPr>
            <sz val="9"/>
            <color indexed="81"/>
            <rFont val="Tahoma"/>
            <family val="2"/>
          </rPr>
          <t>Should be entered with a negative sign.</t>
        </r>
      </text>
    </comment>
    <comment ref="E18" authorId="0" shapeId="0">
      <text>
        <r>
          <rPr>
            <sz val="9"/>
            <color indexed="81"/>
            <rFont val="Tahoma"/>
            <family val="2"/>
          </rPr>
          <t>Should be entered with a negative sign.</t>
        </r>
      </text>
    </comment>
  </commentList>
</comments>
</file>

<file path=xl/comments2.xml><?xml version="1.0" encoding="utf-8"?>
<comments xmlns="http://schemas.openxmlformats.org/spreadsheetml/2006/main">
  <authors>
    <author>Author</author>
  </authors>
  <commentList>
    <comment ref="O9" authorId="0" shapeId="0">
      <text>
        <r>
          <rPr>
            <sz val="9"/>
            <color indexed="81"/>
            <rFont val="Tahoma"/>
            <family val="2"/>
          </rPr>
          <t>Stressed interest rate curves to be used by IORPs which do not dispose of inflation linked obligations.</t>
        </r>
      </text>
    </comment>
    <comment ref="Q9" authorId="0" shapeId="0">
      <text>
        <r>
          <rPr>
            <sz val="9"/>
            <color indexed="81"/>
            <rFont val="Tahoma"/>
            <family val="2"/>
          </rPr>
          <t>Stressed interest rate and inflation curves to be used by IORPs which dispose of inflation linked obligations.</t>
        </r>
      </text>
    </comment>
  </commentList>
</comments>
</file>

<file path=xl/comments3.xml><?xml version="1.0" encoding="utf-8"?>
<comments xmlns="http://schemas.openxmlformats.org/spreadsheetml/2006/main">
  <authors>
    <author>Author</author>
  </authors>
  <commentList>
    <comment ref="B28" authorId="0" shapeId="0">
      <text>
        <r>
          <rPr>
            <sz val="9"/>
            <color indexed="81"/>
            <rFont val="Tahoma"/>
            <charset val="1"/>
          </rPr>
          <t>IORPs that do not dispose of inflation linked obligations should only calculate the stressed balance sheets after altering the interest rate term structure upward and downward (rows 28-31).
IORPs that dispose of inflation linked obligations should calculate stressed balance sheets where the interest rate term structure is altered upward/downward (rows 28-31) as well as where BOTH the interest rate and inflation term structure are altered upward/downward (rows 32-35).</t>
        </r>
      </text>
    </comment>
    <comment ref="B153" authorId="0" shapeId="0">
      <text>
        <r>
          <rPr>
            <sz val="9"/>
            <color indexed="81"/>
            <rFont val="Tahoma"/>
            <family val="2"/>
          </rPr>
          <t>To be filled in for unrated exposures for which debtors have posted collateral (4.3.58), exposures to unrated undertakings subject to Solvency II which meet their minimum capital requirement (4.3.78), unrated third country insurance or reinsurance undertakings (4.3.80) and unrated credit and financial institutions (4.3.81).</t>
        </r>
      </text>
    </comment>
    <comment ref="E154" authorId="0" shapeId="0">
      <text>
        <r>
          <rPr>
            <sz val="9"/>
            <color indexed="81"/>
            <rFont val="Tahoma"/>
            <family val="2"/>
          </rPr>
          <t>For unrated third country insurance or reinsurance undertakings and unrated credit and financial institutions please input a solvency ratio of 100%.</t>
        </r>
      </text>
    </comment>
    <comment ref="F216" authorId="0" shapeId="0">
      <text>
        <r>
          <rPr>
            <sz val="9"/>
            <color indexed="81"/>
            <rFont val="Tahoma"/>
            <family val="2"/>
          </rPr>
          <t xml:space="preserve">
** For </t>
        </r>
        <r>
          <rPr>
            <u/>
            <sz val="9"/>
            <color indexed="81"/>
            <rFont val="Tahoma"/>
            <family val="2"/>
          </rPr>
          <t xml:space="preserve">single-name </t>
        </r>
        <r>
          <rPr>
            <sz val="9"/>
            <color indexed="81"/>
            <rFont val="Tahoma"/>
            <family val="2"/>
          </rPr>
          <t xml:space="preserve">exposures to unrated insurance or reinsurance undetakings which do not meet their minimum capital requirement, please input 95%
** For </t>
        </r>
        <r>
          <rPr>
            <u/>
            <sz val="9"/>
            <color indexed="81"/>
            <rFont val="Tahoma"/>
            <family val="2"/>
          </rPr>
          <t xml:space="preserve">single-name </t>
        </r>
        <r>
          <rPr>
            <sz val="9"/>
            <color indexed="81"/>
            <rFont val="Tahoma"/>
            <family val="2"/>
          </rPr>
          <t xml:space="preserve">exposures to unrated insurance or reinsurance undertaking located in equivalent third countries, and which comply with the solvency requirements of that third-country, please input 100%
** For </t>
        </r>
        <r>
          <rPr>
            <u/>
            <sz val="9"/>
            <color indexed="81"/>
            <rFont val="Tahoma"/>
            <family val="2"/>
          </rPr>
          <t>single-name</t>
        </r>
        <r>
          <rPr>
            <sz val="9"/>
            <color indexed="81"/>
            <rFont val="Tahoma"/>
            <family val="2"/>
          </rPr>
          <t xml:space="preserve"> exposures to unrated credit or financial institutions within the meaning of points (1) and (26) of Article 4(1) of Regulation (EU) No 575/2013 and which comply with the solvency requirements set out in of Directive 2013/36/EU and Regulation (EU) No 575/2013, please input a solvency ratio of 100%.
** For all other cases please input a solvency ratio of 95%</t>
        </r>
      </text>
    </comment>
  </commentList>
</comments>
</file>

<file path=xl/comments4.xml><?xml version="1.0" encoding="utf-8"?>
<comments xmlns="http://schemas.openxmlformats.org/spreadsheetml/2006/main">
  <authors>
    <author>Author</author>
  </authors>
  <commentList>
    <comment ref="Q3" authorId="0" shapeId="0">
      <text>
        <r>
          <rPr>
            <sz val="9"/>
            <color indexed="81"/>
            <rFont val="Tahoma"/>
            <family val="2"/>
          </rPr>
          <t>Total underlying risks exposure without diversification (simple sum)</t>
        </r>
      </text>
    </comment>
    <comment ref="X17" authorId="0" shapeId="0">
      <text>
        <r>
          <rPr>
            <sz val="9"/>
            <color indexed="81"/>
            <rFont val="Tahoma"/>
            <family val="2"/>
          </rPr>
          <t>To be filled in only for single name exposures to unrated undertakings subject to Solvency II which meet their minimum capital requirement.</t>
        </r>
      </text>
    </comment>
  </commentList>
</comments>
</file>

<file path=xl/sharedStrings.xml><?xml version="1.0" encoding="utf-8"?>
<sst xmlns="http://schemas.openxmlformats.org/spreadsheetml/2006/main" count="4389" uniqueCount="651">
  <si>
    <t>#</t>
  </si>
  <si>
    <t>Content</t>
  </si>
  <si>
    <t>Sheet</t>
  </si>
  <si>
    <t>This sheet</t>
  </si>
  <si>
    <t>Explanations on the structure and content of this spreadsheet</t>
  </si>
  <si>
    <t>-</t>
  </si>
  <si>
    <t>Total liabilities</t>
  </si>
  <si>
    <t>Sponsor support</t>
  </si>
  <si>
    <t>Other assets</t>
  </si>
  <si>
    <t>Total assets</t>
  </si>
  <si>
    <t>Assets</t>
  </si>
  <si>
    <t>Liabilities</t>
  </si>
  <si>
    <t>Investments (other than assets held for pure DC)</t>
  </si>
  <si>
    <t>Excess of assets over liabilities</t>
  </si>
  <si>
    <t>Risk margin</t>
  </si>
  <si>
    <t>Deferred tax assets</t>
  </si>
  <si>
    <t>Deferred tax liabilities</t>
  </si>
  <si>
    <t>Other assets (excluding pure DC)</t>
  </si>
  <si>
    <t>Yes</t>
  </si>
  <si>
    <t>No</t>
  </si>
  <si>
    <t>(Re-)insurance and SPV recoverables</t>
  </si>
  <si>
    <t>Pension protection scheme</t>
  </si>
  <si>
    <t>Assets held for pure DC</t>
  </si>
  <si>
    <t>Market</t>
  </si>
  <si>
    <t>Pension liability</t>
  </si>
  <si>
    <t>Exposure</t>
  </si>
  <si>
    <t>Diversif.</t>
  </si>
  <si>
    <t>Market risk</t>
  </si>
  <si>
    <t>Counterparty default risk</t>
  </si>
  <si>
    <t>Intangible asset risk</t>
  </si>
  <si>
    <t>Operational risk</t>
  </si>
  <si>
    <t>Post stress net deferred taxes</t>
  </si>
  <si>
    <t>"A" param</t>
  </si>
  <si>
    <t>Interest rate risk</t>
  </si>
  <si>
    <t>Equity risk</t>
  </si>
  <si>
    <t>Property risk</t>
  </si>
  <si>
    <t>Spread risk</t>
  </si>
  <si>
    <t>Currency risk</t>
  </si>
  <si>
    <t>Concentration risk</t>
  </si>
  <si>
    <t>Benefit option</t>
  </si>
  <si>
    <t>Revision</t>
  </si>
  <si>
    <t>CAT</t>
  </si>
  <si>
    <t>Currency stress upward</t>
  </si>
  <si>
    <t>Currency stress downward</t>
  </si>
  <si>
    <t>Scenario kept for currency stress</t>
  </si>
  <si>
    <t>Scenario kept for interest rate stress</t>
  </si>
  <si>
    <t>Spread on bonds and loans</t>
  </si>
  <si>
    <t>Spread on credit derivatives</t>
  </si>
  <si>
    <t>Scenario kept for credit derivatives</t>
  </si>
  <si>
    <t>Spread on securitisation positions</t>
  </si>
  <si>
    <t>Interest</t>
  </si>
  <si>
    <t>Equity</t>
  </si>
  <si>
    <t>Property</t>
  </si>
  <si>
    <t>Spread</t>
  </si>
  <si>
    <t>Currency</t>
  </si>
  <si>
    <t xml:space="preserve">Equity </t>
  </si>
  <si>
    <t>Concentration</t>
  </si>
  <si>
    <t>Mortality</t>
  </si>
  <si>
    <t>Longevity</t>
  </si>
  <si>
    <t>Disability</t>
  </si>
  <si>
    <t>Best estimate of technical provisions (excl. pure DC)</t>
  </si>
  <si>
    <t>Pure DC liabilities</t>
  </si>
  <si>
    <t>Legally</t>
  </si>
  <si>
    <t>enforceable</t>
  </si>
  <si>
    <t>Non-legally</t>
  </si>
  <si>
    <t>Pension</t>
  </si>
  <si>
    <t>protection</t>
  </si>
  <si>
    <t>scheme</t>
  </si>
  <si>
    <t>Pre-stress</t>
  </si>
  <si>
    <t>Excess of</t>
  </si>
  <si>
    <t>assets over</t>
  </si>
  <si>
    <t>liabilities</t>
  </si>
  <si>
    <t xml:space="preserve">Investments </t>
  </si>
  <si>
    <t>(excluding</t>
  </si>
  <si>
    <t>pure DC)</t>
  </si>
  <si>
    <t>(Re)insurance</t>
  </si>
  <si>
    <t>/ SPV</t>
  </si>
  <si>
    <t>recoverables</t>
  </si>
  <si>
    <t>Deferred tax</t>
  </si>
  <si>
    <t>assets</t>
  </si>
  <si>
    <t>Assets held</t>
  </si>
  <si>
    <t>for pure DC</t>
  </si>
  <si>
    <t>Sponsor support:</t>
  </si>
  <si>
    <t>Total balance</t>
  </si>
  <si>
    <t xml:space="preserve">Unconditional </t>
  </si>
  <si>
    <t>sheet value</t>
  </si>
  <si>
    <t>benefits</t>
  </si>
  <si>
    <t>reductions</t>
  </si>
  <si>
    <t>benefit</t>
  </si>
  <si>
    <t>Reductions</t>
  </si>
  <si>
    <t xml:space="preserve">sponsor </t>
  </si>
  <si>
    <t>default</t>
  </si>
  <si>
    <t xml:space="preserve">Pure DC </t>
  </si>
  <si>
    <t xml:space="preserve">Deferred tax </t>
  </si>
  <si>
    <t xml:space="preserve">Other </t>
  </si>
  <si>
    <t>without LAC</t>
  </si>
  <si>
    <t>with LAC</t>
  </si>
  <si>
    <t>Ex post</t>
  </si>
  <si>
    <t>Balance sheet</t>
  </si>
  <si>
    <t>without/with</t>
  </si>
  <si>
    <t>loss-absorbing</t>
  </si>
  <si>
    <t>capacity</t>
  </si>
  <si>
    <t>Interest rate altered upward</t>
  </si>
  <si>
    <t>Interest rate altered downward</t>
  </si>
  <si>
    <t>Scenario kept for benefit option risk</t>
  </si>
  <si>
    <t>Best estimate of technical provisions (excluding pure DC):</t>
  </si>
  <si>
    <t>Diversif</t>
  </si>
  <si>
    <t>of which: ex ante benefit reductions</t>
  </si>
  <si>
    <t>A</t>
  </si>
  <si>
    <t>unrated</t>
  </si>
  <si>
    <t xml:space="preserve">LAC of technical provisions and/or security mechanisms apply to IORP as a whole (i.e. not limited to specific risks)? </t>
  </si>
  <si>
    <t>unconditional benefits</t>
  </si>
  <si>
    <t>downward</t>
  </si>
  <si>
    <t xml:space="preserve">Interest rate term structure altered </t>
  </si>
  <si>
    <t>upward</t>
  </si>
  <si>
    <t>Interest rate term structure altered</t>
  </si>
  <si>
    <t xml:space="preserve">Interest rate + inflation term structure </t>
  </si>
  <si>
    <t>altered upward</t>
  </si>
  <si>
    <t>Interest rate + Inflation term structure</t>
  </si>
  <si>
    <t>altered downward</t>
  </si>
  <si>
    <t>underlying instruments</t>
  </si>
  <si>
    <t>Downward shock on credit spread of the</t>
  </si>
  <si>
    <t>Upward shock on credit spread of the</t>
  </si>
  <si>
    <t>Conditional benefits</t>
  </si>
  <si>
    <t>Discretionary benefits</t>
  </si>
  <si>
    <t>Index</t>
  </si>
  <si>
    <t>Readme</t>
  </si>
  <si>
    <t>Go To</t>
  </si>
  <si>
    <t>Balance sheet information</t>
  </si>
  <si>
    <t>Main results of the Standardised Risk Assessment</t>
  </si>
  <si>
    <t>Overview SRA</t>
  </si>
  <si>
    <t>Pension liability risk</t>
  </si>
  <si>
    <t>Market risk calculation</t>
  </si>
  <si>
    <t>Counterparty default risk calculation</t>
  </si>
  <si>
    <t>Pension liability risk calculation</t>
  </si>
  <si>
    <t>Intangible asset risk calculation</t>
  </si>
  <si>
    <t>Operational risk calculation</t>
  </si>
  <si>
    <t>legally enforceable sponsor support</t>
  </si>
  <si>
    <t>non-legally enforceable sponsor support</t>
  </si>
  <si>
    <t>conditional benefits</t>
  </si>
  <si>
    <t>discretionary benefits</t>
  </si>
  <si>
    <t>ex post benefit reductions</t>
  </si>
  <si>
    <t>reductions in case of sponsor default</t>
  </si>
  <si>
    <t>Loss Given Default</t>
  </si>
  <si>
    <t>Probability of default</t>
  </si>
  <si>
    <t>Exposure value in balance sheet</t>
  </si>
  <si>
    <t>RM effect</t>
  </si>
  <si>
    <t>Collateral meeting counterparty requirement and held by custodian</t>
  </si>
  <si>
    <t>LGD calculation</t>
  </si>
  <si>
    <t>Single name exposure</t>
  </si>
  <si>
    <t>Name of the counterparty</t>
  </si>
  <si>
    <t>Type of exposure</t>
  </si>
  <si>
    <t>Loss rate</t>
  </si>
  <si>
    <t>Risk-adjusted value of mortgage</t>
  </si>
  <si>
    <t>RM effect
or
Loss-absorbing capacity of the sponsor</t>
  </si>
  <si>
    <t>Simplified Collateral Calculation</t>
  </si>
  <si>
    <t>Third party requirement met?</t>
  </si>
  <si>
    <t>Risk-adjusted valuation of the collateral</t>
  </si>
  <si>
    <t>Used
weight for collateral</t>
  </si>
  <si>
    <t>Counterparty LGD</t>
  </si>
  <si>
    <t>LGD (by single name exposure)</t>
  </si>
  <si>
    <t>Class of counterparty for the purposes of PD calculations</t>
  </si>
  <si>
    <t>Credit quality</t>
  </si>
  <si>
    <t>Counterparty PD</t>
  </si>
  <si>
    <t>PD (by single name exposure)</t>
  </si>
  <si>
    <t>YES</t>
  </si>
  <si>
    <t>01. Exposures with credit rating</t>
  </si>
  <si>
    <t>03. Other unrated exposures</t>
  </si>
  <si>
    <t>NO</t>
  </si>
  <si>
    <t>E</t>
  </si>
  <si>
    <t>F</t>
  </si>
  <si>
    <t>Calculation for Type 1 exposures</t>
  </si>
  <si>
    <t>Possible values column D - types of exposure for LGD</t>
  </si>
  <si>
    <t>Column F - loss rates</t>
  </si>
  <si>
    <t>Column O - collateral calcs</t>
  </si>
  <si>
    <t>Simplied</t>
  </si>
  <si>
    <t>Non simplified</t>
  </si>
  <si>
    <t>Treatment of collateral for the determination of IORP's
proportional share in case of insolvency of counterparty:</t>
  </si>
  <si>
    <t>not taken into account</t>
  </si>
  <si>
    <t>taken into account</t>
  </si>
  <si>
    <t>F'</t>
  </si>
  <si>
    <t>Possible values column U - PD classed</t>
  </si>
  <si>
    <t>Every</t>
  </si>
  <si>
    <t>PD no.</t>
  </si>
  <si>
    <t>Value no</t>
  </si>
  <si>
    <t>PD</t>
  </si>
  <si>
    <t>PD values</t>
  </si>
  <si>
    <t>Calculation for Type 2 exposures</t>
  </si>
  <si>
    <t>Exposures type 2, excluding those which has been due for more than 3 months</t>
  </si>
  <si>
    <t>LGD</t>
  </si>
  <si>
    <t>Exposures type 2 which have been due for more than 3 months</t>
  </si>
  <si>
    <t>Vintra V'z</t>
  </si>
  <si>
    <t>Variance (V) = Vinter + Vintra</t>
  </si>
  <si>
    <t>Standard deviation Type 1  (V^0.5)</t>
  </si>
  <si>
    <t>Type 1. Factor q</t>
  </si>
  <si>
    <t>%LGD (Type 1)</t>
  </si>
  <si>
    <t>Gamma</t>
  </si>
  <si>
    <t>Used to calculate</t>
  </si>
  <si>
    <t>Used for</t>
  </si>
  <si>
    <t>Vinter</t>
  </si>
  <si>
    <t>Vintra</t>
  </si>
  <si>
    <t>Used to calculate Vinter</t>
  </si>
  <si>
    <t>Matrix U</t>
  </si>
  <si>
    <t>y</t>
  </si>
  <si>
    <t>z</t>
  </si>
  <si>
    <t>v</t>
  </si>
  <si>
    <r>
      <t>LGD</t>
    </r>
    <r>
      <rPr>
        <vertAlign val="superscript"/>
        <sz val="11"/>
        <color indexed="8"/>
        <rFont val="Calibri"/>
        <family val="2"/>
      </rPr>
      <t>2</t>
    </r>
  </si>
  <si>
    <t>AA</t>
  </si>
  <si>
    <t>04.Reinsurance arrangements</t>
  </si>
  <si>
    <t>05.Reinsurance arrangements where reinsurer &gt; 60% tied up</t>
  </si>
  <si>
    <t>06.Securitisation</t>
  </si>
  <si>
    <t>08.Sponsor support</t>
  </si>
  <si>
    <t>09.Mortgage loans</t>
  </si>
  <si>
    <t>10.Cash at bank as well as any other exposures</t>
  </si>
  <si>
    <t>Factor name</t>
  </si>
  <si>
    <t>Vinter y'Uy</t>
  </si>
  <si>
    <t>Risk value - Type 1 exposures</t>
  </si>
  <si>
    <t>Risk value - Type 2 exposures</t>
  </si>
  <si>
    <t>Longevity risk</t>
  </si>
  <si>
    <t>Mortality risk</t>
  </si>
  <si>
    <t>Benefit option risk</t>
  </si>
  <si>
    <t>Revision risk</t>
  </si>
  <si>
    <t>CAT risk</t>
  </si>
  <si>
    <t xml:space="preserve">Assets on stressed balance sheet </t>
  </si>
  <si>
    <t>Liabilities on stressed balance sheet</t>
  </si>
  <si>
    <t>Conditional</t>
  </si>
  <si>
    <t>Discretionary</t>
  </si>
  <si>
    <t>Market risks</t>
  </si>
  <si>
    <t>Year</t>
  </si>
  <si>
    <t>Discount factor</t>
  </si>
  <si>
    <t>Calculation for property risk</t>
  </si>
  <si>
    <t>Stress factor</t>
  </si>
  <si>
    <t>Change in the value of property derivatives</t>
  </si>
  <si>
    <t>Exposure in balance sheet</t>
  </si>
  <si>
    <t>Aggregated loss</t>
  </si>
  <si>
    <t>Exposure in stressed balance sheet</t>
  </si>
  <si>
    <t>Calculation for equity risk</t>
  </si>
  <si>
    <t>Type 1</t>
  </si>
  <si>
    <t>Type 2</t>
  </si>
  <si>
    <t>Total</t>
  </si>
  <si>
    <t>Change in the value of equity derivatives</t>
  </si>
  <si>
    <t>Stress on Type 1</t>
  </si>
  <si>
    <t>Stress on Type 2</t>
  </si>
  <si>
    <t>Upward</t>
  </si>
  <si>
    <t>Downward</t>
  </si>
  <si>
    <t>Change in the value of currency derivatives</t>
  </si>
  <si>
    <t>Calculation for concentration risk</t>
  </si>
  <si>
    <t>Number of single name exposures</t>
  </si>
  <si>
    <t xml:space="preserve">Total amount of assets considered in the market risk concentrations submodule </t>
  </si>
  <si>
    <t>AAA</t>
  </si>
  <si>
    <t>BBB</t>
  </si>
  <si>
    <t>BB</t>
  </si>
  <si>
    <t xml:space="preserve">B  or unrated </t>
  </si>
  <si>
    <t>lower than B</t>
  </si>
  <si>
    <t>&gt;=196%</t>
  </si>
  <si>
    <t>175%</t>
  </si>
  <si>
    <t>122%</t>
  </si>
  <si>
    <t>100%</t>
  </si>
  <si>
    <t>&lt;95%</t>
  </si>
  <si>
    <t>Credit quality step (when available) of the counterparty</t>
  </si>
  <si>
    <t>Total exposure per counterparty</t>
  </si>
  <si>
    <t>Total exposure per single name exposure</t>
  </si>
  <si>
    <t>Weighted average credit quality step of the single name exposure</t>
  </si>
  <si>
    <t>Threshold single name exposure</t>
  </si>
  <si>
    <t>Excess exposure (single name exposure)</t>
  </si>
  <si>
    <t>gi</t>
  </si>
  <si>
    <t>1 - Standard</t>
  </si>
  <si>
    <t>t</t>
  </si>
  <si>
    <t>5 - Non-EEA governments and central banks denominated and funded in the domestic currency exposures</t>
  </si>
  <si>
    <t>Calculation for currency risk</t>
  </si>
  <si>
    <t>Calculation for spread risk - bonds, loans and securitisation positions</t>
  </si>
  <si>
    <t>Bonds</t>
  </si>
  <si>
    <t>weighted average duration</t>
  </si>
  <si>
    <t>Securitisation positions</t>
  </si>
  <si>
    <t>Covered Bonds</t>
  </si>
  <si>
    <t>Non-EEA sovereign bonds, issued in domestic currency</t>
  </si>
  <si>
    <t>Credit quality step</t>
  </si>
  <si>
    <t>Modified duration</t>
  </si>
  <si>
    <t>Covered bond? Or non-EEA sovereign bond, issued in domestic currency? (Default="No")</t>
  </si>
  <si>
    <t>Type</t>
  </si>
  <si>
    <t>Resecuritisation</t>
  </si>
  <si>
    <t>Covered bond</t>
  </si>
  <si>
    <t>Non-EEA sovereign</t>
  </si>
  <si>
    <r>
      <t>SMV</t>
    </r>
    <r>
      <rPr>
        <vertAlign val="subscript"/>
        <sz val="11"/>
        <rFont val="Calibri"/>
        <family val="2"/>
        <scheme val="minor"/>
      </rPr>
      <t>i</t>
    </r>
  </si>
  <si>
    <r>
      <t>sum per rating of MV</t>
    </r>
    <r>
      <rPr>
        <vertAlign val="subscript"/>
        <sz val="11"/>
        <rFont val="Calibri"/>
        <family val="2"/>
        <scheme val="minor"/>
      </rPr>
      <t>i</t>
    </r>
    <r>
      <rPr>
        <sz val="11"/>
        <rFont val="Calibri"/>
        <family val="2"/>
        <scheme val="minor"/>
      </rPr>
      <t>*dur</t>
    </r>
    <r>
      <rPr>
        <vertAlign val="subscript"/>
        <sz val="11"/>
        <rFont val="Calibri"/>
        <family val="2"/>
        <scheme val="minor"/>
      </rPr>
      <t>i</t>
    </r>
  </si>
  <si>
    <r>
      <t>sum per rating of MV</t>
    </r>
    <r>
      <rPr>
        <vertAlign val="subscript"/>
        <sz val="11"/>
        <rFont val="Calibri"/>
        <family val="2"/>
        <scheme val="minor"/>
      </rPr>
      <t>i</t>
    </r>
    <r>
      <rPr>
        <sz val="11"/>
        <rFont val="Calibri"/>
        <family val="2"/>
        <scheme val="minor"/>
      </rPr>
      <t>*m(dur</t>
    </r>
    <r>
      <rPr>
        <vertAlign val="subscript"/>
        <sz val="11"/>
        <rFont val="Calibri"/>
        <family val="2"/>
        <scheme val="minor"/>
      </rPr>
      <t>i</t>
    </r>
    <r>
      <rPr>
        <sz val="11"/>
        <rFont val="Calibri"/>
        <family val="2"/>
        <scheme val="minor"/>
      </rPr>
      <t>)</t>
    </r>
  </si>
  <si>
    <r>
      <t>Market value (MV</t>
    </r>
    <r>
      <rPr>
        <vertAlign val="subscript"/>
        <sz val="11"/>
        <rFont val="Calibri"/>
        <family val="2"/>
        <scheme val="minor"/>
      </rPr>
      <t>i</t>
    </r>
    <r>
      <rPr>
        <sz val="11"/>
        <rFont val="Calibri"/>
        <family val="2"/>
        <scheme val="minor"/>
      </rPr>
      <t>)</t>
    </r>
  </si>
  <si>
    <r>
      <t>MV</t>
    </r>
    <r>
      <rPr>
        <vertAlign val="subscript"/>
        <sz val="11"/>
        <rFont val="Calibri"/>
        <family val="2"/>
        <scheme val="minor"/>
      </rPr>
      <t>i</t>
    </r>
    <r>
      <rPr>
        <sz val="11"/>
        <rFont val="Calibri"/>
        <family val="2"/>
        <scheme val="minor"/>
      </rPr>
      <t xml:space="preserve"> times duration</t>
    </r>
  </si>
  <si>
    <t>Bond</t>
  </si>
  <si>
    <t>a</t>
  </si>
  <si>
    <t xml:space="preserve">b </t>
  </si>
  <si>
    <t>Index helper factor</t>
  </si>
  <si>
    <t>Bonds and loans, a</t>
  </si>
  <si>
    <t>Non-EEA sovereign, a</t>
  </si>
  <si>
    <t>up to 5</t>
  </si>
  <si>
    <t>&gt;5 to 10</t>
  </si>
  <si>
    <t>&gt;10 to 15</t>
  </si>
  <si>
    <t>&gt;15 to 20</t>
  </si>
  <si>
    <t>&gt;20</t>
  </si>
  <si>
    <t>Bonds and loans, b</t>
  </si>
  <si>
    <t>Non-EEA sovereign, b</t>
  </si>
  <si>
    <t>Rating class</t>
  </si>
  <si>
    <t>b</t>
  </si>
  <si>
    <t>Resecuritisation positions</t>
  </si>
  <si>
    <t>Duration \ CQS</t>
  </si>
  <si>
    <t>selection - type of bond</t>
  </si>
  <si>
    <t>empty rows</t>
  </si>
  <si>
    <t>rows filled in</t>
  </si>
  <si>
    <t>securitisation</t>
  </si>
  <si>
    <t>bonds</t>
  </si>
  <si>
    <t>counter for offset-functions</t>
  </si>
  <si>
    <t>Inflation curve</t>
  </si>
  <si>
    <t>BE</t>
  </si>
  <si>
    <t>No inflation</t>
  </si>
  <si>
    <t>Risk free interest rate curve - shock down</t>
  </si>
  <si>
    <t>Risk free interest rate curve - shock up</t>
  </si>
  <si>
    <t>Risk free interest rate curve- shock up</t>
  </si>
  <si>
    <t>Inflation curve - shock down</t>
  </si>
  <si>
    <t>Inflation curve - shock up</t>
  </si>
  <si>
    <t>Inflation</t>
  </si>
  <si>
    <t>Risk free interest rate curve - spot rates</t>
  </si>
  <si>
    <t>Calculation of discounted values using projected cash flows</t>
  </si>
  <si>
    <t>Discounted value</t>
  </si>
  <si>
    <t>Other liabilities</t>
  </si>
  <si>
    <t>Discounted values</t>
  </si>
  <si>
    <t>Net deferred taxes in the balance sheet</t>
  </si>
  <si>
    <t>Column Y - PDs</t>
  </si>
  <si>
    <t>1 Mortality</t>
  </si>
  <si>
    <t>CAR</t>
  </si>
  <si>
    <t>Total capital at risk</t>
  </si>
  <si>
    <t>q</t>
  </si>
  <si>
    <t>Sum</t>
  </si>
  <si>
    <t>CAR1</t>
  </si>
  <si>
    <t>d1</t>
  </si>
  <si>
    <t>CAR2</t>
  </si>
  <si>
    <t>d2</t>
  </si>
  <si>
    <t>n</t>
  </si>
  <si>
    <t>i</t>
  </si>
  <si>
    <t>Result (simplification)</t>
  </si>
  <si>
    <r>
      <t>BE</t>
    </r>
    <r>
      <rPr>
        <vertAlign val="subscript"/>
        <sz val="11"/>
        <color theme="1"/>
        <rFont val="Calibri"/>
        <family val="2"/>
        <scheme val="minor"/>
      </rPr>
      <t>long</t>
    </r>
  </si>
  <si>
    <t>Expected average mortality rate for the following 12 months</t>
  </si>
  <si>
    <t>Best estimate of obligations subject to longevity risk</t>
  </si>
  <si>
    <t xml:space="preserve"> </t>
  </si>
  <si>
    <r>
      <t>This should be calculated with i</t>
    </r>
    <r>
      <rPr>
        <vertAlign val="subscript"/>
        <sz val="11"/>
        <rFont val="Calibri"/>
        <family val="2"/>
        <scheme val="minor"/>
      </rPr>
      <t>k</t>
    </r>
    <r>
      <rPr>
        <sz val="11"/>
        <rFont val="Calibri"/>
        <family val="2"/>
        <scheme val="minor"/>
      </rPr>
      <t xml:space="preserve"> being the annualised spot rate for maturity k of the relevant risk free term structure and n the modified duration in years</t>
    </r>
  </si>
  <si>
    <t>Modified duration in years</t>
  </si>
  <si>
    <t>Disability-morbidity risk</t>
  </si>
  <si>
    <t>Disability-morbidity</t>
  </si>
  <si>
    <t>Total capital at risk after 12 months</t>
  </si>
  <si>
    <t>Expected average disability-morbidity rate for the following 12 months</t>
  </si>
  <si>
    <t>Expected termination rates during the following 12 months</t>
  </si>
  <si>
    <t>Best estimate of obligations subject to disability-morbidity risk</t>
  </si>
  <si>
    <r>
      <t>BE</t>
    </r>
    <r>
      <rPr>
        <vertAlign val="subscript"/>
        <sz val="11"/>
        <color theme="1"/>
        <rFont val="Calibri"/>
        <family val="2"/>
        <scheme val="minor"/>
      </rPr>
      <t>dis</t>
    </r>
  </si>
  <si>
    <t>Expense</t>
  </si>
  <si>
    <t>Expenses during the last year</t>
  </si>
  <si>
    <t>Modified duration in years of cash flows included in BE</t>
  </si>
  <si>
    <t>Weighted average inflation rate included in calculation of BE</t>
  </si>
  <si>
    <t>Benefit option - increase</t>
  </si>
  <si>
    <r>
      <t>l</t>
    </r>
    <r>
      <rPr>
        <vertAlign val="subscript"/>
        <sz val="11"/>
        <color indexed="8"/>
        <rFont val="Calibri"/>
        <family val="2"/>
        <scheme val="minor"/>
      </rPr>
      <t>up</t>
    </r>
  </si>
  <si>
    <r>
      <t>n</t>
    </r>
    <r>
      <rPr>
        <vertAlign val="subscript"/>
        <sz val="11"/>
        <color indexed="8"/>
        <rFont val="Calibri"/>
        <family val="2"/>
        <scheme val="minor"/>
      </rPr>
      <t>up</t>
    </r>
  </si>
  <si>
    <r>
      <t>S</t>
    </r>
    <r>
      <rPr>
        <vertAlign val="subscript"/>
        <sz val="11"/>
        <color indexed="8"/>
        <rFont val="Calibri"/>
        <family val="2"/>
        <scheme val="minor"/>
      </rPr>
      <t>up</t>
    </r>
  </si>
  <si>
    <t>The higher of the average option exercise rate for positive surrender strains and 67%</t>
  </si>
  <si>
    <t>Average period for the run-off of positive surrender strains</t>
  </si>
  <si>
    <t>Sum of positive surrender strains</t>
  </si>
  <si>
    <t>Benefit option - decrease</t>
  </si>
  <si>
    <r>
      <t>l</t>
    </r>
    <r>
      <rPr>
        <vertAlign val="subscript"/>
        <sz val="11"/>
        <color indexed="8"/>
        <rFont val="Calibri"/>
        <family val="2"/>
        <scheme val="minor"/>
      </rPr>
      <t>down</t>
    </r>
  </si>
  <si>
    <r>
      <t>n</t>
    </r>
    <r>
      <rPr>
        <vertAlign val="subscript"/>
        <sz val="11"/>
        <color indexed="8"/>
        <rFont val="Calibri"/>
        <family val="2"/>
        <scheme val="minor"/>
      </rPr>
      <t>down</t>
    </r>
  </si>
  <si>
    <r>
      <t>S</t>
    </r>
    <r>
      <rPr>
        <vertAlign val="subscript"/>
        <sz val="11"/>
        <color indexed="8"/>
        <rFont val="Calibri"/>
        <family val="2"/>
        <scheme val="minor"/>
      </rPr>
      <t>down</t>
    </r>
  </si>
  <si>
    <t>The higher of the average option exercise rate for negative surrender strains and 40%</t>
  </si>
  <si>
    <t>Average period for the run-off of negative surrender strains</t>
  </si>
  <si>
    <t>Sum of negative surrender strains</t>
  </si>
  <si>
    <t>Catastrophe risk</t>
  </si>
  <si>
    <t>Sum of capital at risk</t>
  </si>
  <si>
    <t>Expense risk</t>
  </si>
  <si>
    <t>Symmetric adjustment</t>
  </si>
  <si>
    <t>Simplified calculation for spread risk on bonds and loans</t>
  </si>
  <si>
    <t>No rating</t>
  </si>
  <si>
    <t>bi</t>
  </si>
  <si>
    <t>SMVi</t>
  </si>
  <si>
    <t>∆Liab_DC</t>
  </si>
  <si>
    <t>MVi</t>
  </si>
  <si>
    <t>General inputs</t>
  </si>
  <si>
    <t>Unit</t>
  </si>
  <si>
    <t>Calculation reference date</t>
  </si>
  <si>
    <t>Interest rate curves</t>
  </si>
  <si>
    <t>shock down</t>
  </si>
  <si>
    <t>shock up</t>
  </si>
  <si>
    <t>Main results</t>
  </si>
  <si>
    <t>Net VaR</t>
  </si>
  <si>
    <t>Gross VaR</t>
  </si>
  <si>
    <t>Basic Standardised Value at Risk (BSVaR)</t>
  </si>
  <si>
    <t>Standardised Value at Risk (SVaR)</t>
  </si>
  <si>
    <t>Magnitude of the deferred taxes shock</t>
  </si>
  <si>
    <t xml:space="preserve">Value at Risk </t>
  </si>
  <si>
    <t>value at risk</t>
  </si>
  <si>
    <t>VaRbonds</t>
  </si>
  <si>
    <t>VaRsecuritisation</t>
  </si>
  <si>
    <t>value at risk per rating</t>
  </si>
  <si>
    <t>value at risk per instrument</t>
  </si>
  <si>
    <r>
      <t>Conc</t>
    </r>
    <r>
      <rPr>
        <vertAlign val="subscript"/>
        <sz val="11"/>
        <color theme="1"/>
        <rFont val="Calibri"/>
        <family val="2"/>
        <scheme val="minor"/>
      </rPr>
      <t>i</t>
    </r>
    <r>
      <rPr>
        <vertAlign val="superscript"/>
        <sz val="11"/>
        <rFont val="Calibri"/>
        <family val="2"/>
        <scheme val="minor"/>
      </rPr>
      <t>2</t>
    </r>
    <r>
      <rPr>
        <sz val="11"/>
        <rFont val="Calibri"/>
        <family val="2"/>
        <scheme val="minor"/>
      </rPr>
      <t xml:space="preserve"> (standard)</t>
    </r>
  </si>
  <si>
    <r>
      <t>Conc</t>
    </r>
    <r>
      <rPr>
        <vertAlign val="subscript"/>
        <sz val="11"/>
        <color theme="1"/>
        <rFont val="Calibri"/>
        <family val="2"/>
        <scheme val="minor"/>
      </rPr>
      <t>i</t>
    </r>
    <r>
      <rPr>
        <vertAlign val="superscript"/>
        <sz val="11"/>
        <rFont val="Calibri"/>
        <family val="2"/>
        <scheme val="minor"/>
      </rPr>
      <t>2</t>
    </r>
    <r>
      <rPr>
        <sz val="11"/>
        <rFont val="Calibri"/>
        <family val="2"/>
        <scheme val="minor"/>
      </rPr>
      <t xml:space="preserve"> (property)</t>
    </r>
  </si>
  <si>
    <r>
      <t>Conc</t>
    </r>
    <r>
      <rPr>
        <vertAlign val="subscript"/>
        <sz val="11"/>
        <color theme="1"/>
        <rFont val="Calibri"/>
        <family val="2"/>
        <scheme val="minor"/>
      </rPr>
      <t>i</t>
    </r>
    <r>
      <rPr>
        <vertAlign val="superscript"/>
        <sz val="11"/>
        <rFont val="Calibri"/>
        <family val="2"/>
        <scheme val="minor"/>
      </rPr>
      <t xml:space="preserve">2 </t>
    </r>
    <r>
      <rPr>
        <sz val="11"/>
        <rFont val="Calibri"/>
        <family val="2"/>
        <scheme val="minor"/>
      </rPr>
      <t>(non EEA gvt)</t>
    </r>
  </si>
  <si>
    <r>
      <t>Conc</t>
    </r>
    <r>
      <rPr>
        <vertAlign val="subscript"/>
        <sz val="11"/>
        <color theme="1"/>
        <rFont val="Calibri"/>
        <family val="2"/>
        <scheme val="minor"/>
      </rPr>
      <t>i</t>
    </r>
    <r>
      <rPr>
        <vertAlign val="superscript"/>
        <sz val="11"/>
        <color theme="1"/>
        <rFont val="Calibri"/>
        <family val="2"/>
        <scheme val="minor"/>
      </rPr>
      <t>2</t>
    </r>
    <r>
      <rPr>
        <sz val="11"/>
        <color theme="1"/>
        <rFont val="Calibri"/>
        <family val="2"/>
        <scheme val="minor"/>
      </rPr>
      <t xml:space="preserve"> </t>
    </r>
    <r>
      <rPr>
        <sz val="11"/>
        <rFont val="Calibri"/>
        <family val="2"/>
        <scheme val="minor"/>
      </rPr>
      <t>(covered bonds)</t>
    </r>
  </si>
  <si>
    <r>
      <t>Conc</t>
    </r>
    <r>
      <rPr>
        <vertAlign val="subscript"/>
        <sz val="11"/>
        <rFont val="Calibri"/>
        <family val="2"/>
        <scheme val="minor"/>
      </rPr>
      <t>i</t>
    </r>
    <r>
      <rPr>
        <vertAlign val="superscript"/>
        <sz val="11"/>
        <rFont val="Calibri"/>
        <family val="2"/>
        <scheme val="minor"/>
      </rPr>
      <t>2</t>
    </r>
    <r>
      <rPr>
        <sz val="11"/>
        <rFont val="Calibri"/>
        <family val="2"/>
        <scheme val="minor"/>
      </rPr>
      <t xml:space="preserve"> (unrated SII and credit/financial institutions)</t>
    </r>
  </si>
  <si>
    <r>
      <t>Conc</t>
    </r>
    <r>
      <rPr>
        <vertAlign val="subscript"/>
        <sz val="11"/>
        <rFont val="Calibri"/>
        <family val="2"/>
        <scheme val="minor"/>
      </rPr>
      <t xml:space="preserve">i </t>
    </r>
  </si>
  <si>
    <t>Value at risk</t>
  </si>
  <si>
    <t>Simplifications for pension liability risks</t>
  </si>
  <si>
    <t>2) Colors</t>
  </si>
  <si>
    <t>Input cell</t>
  </si>
  <si>
    <t>Calculated cell</t>
  </si>
  <si>
    <t xml:space="preserve">A cell containing a formula </t>
  </si>
  <si>
    <t>A cell which also contains a formula and generates a key outcome</t>
  </si>
  <si>
    <t>The purpose of this spreadsheet is to assist IORPs in doing the SRA calculations.</t>
  </si>
  <si>
    <t>1) Purpose</t>
  </si>
  <si>
    <t>This spreadsheet uses the following color conventions for cells:</t>
  </si>
  <si>
    <t>An entry cell</t>
  </si>
  <si>
    <t>Parameter cell</t>
  </si>
  <si>
    <t>A cell containing a parameter that can be changed</t>
  </si>
  <si>
    <t>3) Comments and references</t>
  </si>
  <si>
    <t>Sometimes comments are included in label cells to provide additional clarification/explanation on cells/tables.</t>
  </si>
  <si>
    <t>4) Contents of the spreadsheet</t>
  </si>
  <si>
    <t>[Index]</t>
  </si>
  <si>
    <t>The [Index] sheet provides an overview of all sheets in the spreadsheet.</t>
  </si>
  <si>
    <t>[General inputs]</t>
  </si>
  <si>
    <t>In the [General inputs] sheet IORPs should enter the calculation unit and reference date.</t>
  </si>
  <si>
    <t>[Balance sheet]</t>
  </si>
  <si>
    <t>The [Balance sheet] sheet should be filled with information on the common balance sheet.</t>
  </si>
  <si>
    <t>[Discounted values]</t>
  </si>
  <si>
    <t>[Overview SRA]</t>
  </si>
  <si>
    <t>This sheet provides an overview of the main results for each risk module and calculates the Standardised Value at Risk.</t>
  </si>
  <si>
    <t>It also contains information on loss absorbing capacity that should be filled in by IORPs.</t>
  </si>
  <si>
    <t>[Market risk]</t>
  </si>
  <si>
    <t>[Counterparty default risk]</t>
  </si>
  <si>
    <t>[Pension liability risk]</t>
  </si>
  <si>
    <t>[Intangible asset risk]</t>
  </si>
  <si>
    <t>[Operational risk]</t>
  </si>
  <si>
    <r>
      <t>Contributions based risk component (Op</t>
    </r>
    <r>
      <rPr>
        <vertAlign val="subscript"/>
        <sz val="11"/>
        <color theme="1"/>
        <rFont val="Calibri"/>
        <family val="2"/>
        <scheme val="minor"/>
      </rPr>
      <t>contributions</t>
    </r>
    <r>
      <rPr>
        <sz val="11"/>
        <color theme="1"/>
        <rFont val="Calibri"/>
        <family val="2"/>
        <scheme val="minor"/>
      </rPr>
      <t>)</t>
    </r>
  </si>
  <si>
    <r>
      <t>TP based risk component (Op</t>
    </r>
    <r>
      <rPr>
        <vertAlign val="subscript"/>
        <sz val="11"/>
        <color theme="1"/>
        <rFont val="Calibri"/>
        <family val="2"/>
        <scheme val="minor"/>
      </rPr>
      <t>provisions</t>
    </r>
    <r>
      <rPr>
        <sz val="11"/>
        <color theme="1"/>
        <rFont val="Calibri"/>
        <family val="2"/>
        <scheme val="minor"/>
      </rPr>
      <t>)</t>
    </r>
  </si>
  <si>
    <r>
      <t>Amount of expenses in the previous 12 months in respect of pure DC (Exp</t>
    </r>
    <r>
      <rPr>
        <vertAlign val="subscript"/>
        <sz val="11"/>
        <color theme="1"/>
        <rFont val="Calibri"/>
        <family val="2"/>
        <scheme val="minor"/>
      </rPr>
      <t>DC</t>
    </r>
    <r>
      <rPr>
        <sz val="11"/>
        <color theme="1"/>
        <rFont val="Calibri"/>
        <family val="2"/>
        <scheme val="minor"/>
      </rPr>
      <t>)</t>
    </r>
  </si>
  <si>
    <r>
      <t>Contributions received during the last 12 months (Contr</t>
    </r>
    <r>
      <rPr>
        <vertAlign val="subscript"/>
        <sz val="11"/>
        <color theme="1"/>
        <rFont val="Calibri"/>
        <family val="2"/>
        <scheme val="minor"/>
      </rPr>
      <t>pension</t>
    </r>
    <r>
      <rPr>
        <sz val="11"/>
        <color theme="1"/>
        <rFont val="Calibri"/>
        <family val="2"/>
        <scheme val="minor"/>
      </rPr>
      <t>)</t>
    </r>
  </si>
  <si>
    <r>
      <t>of which pure DC (Contr</t>
    </r>
    <r>
      <rPr>
        <vertAlign val="subscript"/>
        <sz val="11"/>
        <color theme="1"/>
        <rFont val="Calibri"/>
        <family val="2"/>
        <scheme val="minor"/>
      </rPr>
      <t>pension-dc</t>
    </r>
    <r>
      <rPr>
        <sz val="11"/>
        <color theme="1"/>
        <rFont val="Calibri"/>
        <family val="2"/>
        <scheme val="minor"/>
      </rPr>
      <t>)</t>
    </r>
  </si>
  <si>
    <r>
      <t>Contributions received during the 12 months prior to the last 12 months (pContr</t>
    </r>
    <r>
      <rPr>
        <vertAlign val="subscript"/>
        <sz val="11"/>
        <color theme="1"/>
        <rFont val="Calibri"/>
        <family val="2"/>
        <scheme val="minor"/>
      </rPr>
      <t>pension</t>
    </r>
    <r>
      <rPr>
        <sz val="11"/>
        <color theme="1"/>
        <rFont val="Calibri"/>
        <family val="2"/>
        <scheme val="minor"/>
      </rPr>
      <t>)</t>
    </r>
  </si>
  <si>
    <r>
      <t>of which pure DC (pContr</t>
    </r>
    <r>
      <rPr>
        <vertAlign val="subscript"/>
        <sz val="11"/>
        <color theme="1"/>
        <rFont val="Calibri"/>
        <family val="2"/>
        <scheme val="minor"/>
      </rPr>
      <t>pension-dc</t>
    </r>
    <r>
      <rPr>
        <sz val="11"/>
        <color theme="1"/>
        <rFont val="Calibri"/>
        <family val="2"/>
        <scheme val="minor"/>
      </rPr>
      <t>)</t>
    </r>
  </si>
  <si>
    <r>
      <t>TP for pension obligations (TP</t>
    </r>
    <r>
      <rPr>
        <vertAlign val="subscript"/>
        <sz val="11"/>
        <color theme="1"/>
        <rFont val="Calibri"/>
        <family val="2"/>
        <scheme val="minor"/>
      </rPr>
      <t>pension</t>
    </r>
    <r>
      <rPr>
        <sz val="11"/>
        <color theme="1"/>
        <rFont val="Calibri"/>
        <family val="2"/>
        <scheme val="minor"/>
      </rPr>
      <t>)</t>
    </r>
  </si>
  <si>
    <r>
      <t>of which pure DC (TP</t>
    </r>
    <r>
      <rPr>
        <vertAlign val="subscript"/>
        <sz val="11"/>
        <color theme="1"/>
        <rFont val="Calibri"/>
        <family val="2"/>
        <scheme val="minor"/>
      </rPr>
      <t>pension-dc</t>
    </r>
    <r>
      <rPr>
        <sz val="11"/>
        <color theme="1"/>
        <rFont val="Calibri"/>
        <family val="2"/>
        <scheme val="minor"/>
      </rPr>
      <t>)</t>
    </r>
  </si>
  <si>
    <r>
      <t>Value of intangible assets (V</t>
    </r>
    <r>
      <rPr>
        <vertAlign val="subscript"/>
        <sz val="11"/>
        <color theme="1"/>
        <rFont val="Calibri"/>
        <family val="2"/>
        <scheme val="minor"/>
      </rPr>
      <t>intangible</t>
    </r>
    <r>
      <rPr>
        <sz val="11"/>
        <color theme="1"/>
        <rFont val="Calibri"/>
        <family val="2"/>
        <scheme val="minor"/>
      </rPr>
      <t>)</t>
    </r>
  </si>
  <si>
    <t>Total positive capital at risk</t>
  </si>
  <si>
    <t xml:space="preserve">Expected average disability-morbidity in the 12 months after the following 12 months </t>
  </si>
  <si>
    <t>Benefit option - increase in option exercise rates</t>
  </si>
  <si>
    <t>Benefit option - decrease in option exercise rates</t>
  </si>
  <si>
    <t>Benefit option - mass option exercise event</t>
  </si>
  <si>
    <t>No inflation (relative change)</t>
  </si>
  <si>
    <t>Inflation (relative change)</t>
  </si>
  <si>
    <t>Calculation of discounted values using projected cash flows, interest rate and inflation curves and discount factors</t>
  </si>
  <si>
    <t>Net cash flows</t>
  </si>
  <si>
    <t>Risk free interest rate and inflation curves - shock down</t>
  </si>
  <si>
    <t>Risk free interest rate and inflation curves - shock up</t>
  </si>
  <si>
    <r>
      <t>VaR</t>
    </r>
    <r>
      <rPr>
        <vertAlign val="subscript"/>
        <sz val="11"/>
        <color theme="1"/>
        <rFont val="Calibri"/>
        <family val="2"/>
        <scheme val="minor"/>
      </rPr>
      <t>Conc</t>
    </r>
  </si>
  <si>
    <t>3 - Covered bonds</t>
  </si>
  <si>
    <t>Threshold (types 1, 2 and 5 of exposure)</t>
  </si>
  <si>
    <t>Threshold for property (type 4 of exposure)</t>
  </si>
  <si>
    <r>
      <t>g</t>
    </r>
    <r>
      <rPr>
        <vertAlign val="subscript"/>
        <sz val="11"/>
        <rFont val="Calibri"/>
        <family val="2"/>
        <scheme val="minor"/>
      </rPr>
      <t>i</t>
    </r>
    <r>
      <rPr>
        <sz val="11"/>
        <rFont val="Calibri"/>
        <family val="2"/>
        <scheme val="minor"/>
      </rPr>
      <t xml:space="preserve"> (types 1 and 3 of exposure)</t>
    </r>
  </si>
  <si>
    <t>gi for SII unrated (type 2 of exposure)</t>
  </si>
  <si>
    <r>
      <t>g</t>
    </r>
    <r>
      <rPr>
        <vertAlign val="subscript"/>
        <sz val="11"/>
        <rFont val="Calibri"/>
        <family val="2"/>
        <scheme val="minor"/>
      </rPr>
      <t>i</t>
    </r>
    <r>
      <rPr>
        <sz val="11"/>
        <rFont val="Calibri"/>
        <family val="2"/>
        <scheme val="minor"/>
      </rPr>
      <t xml:space="preserve"> for non-EEA governments and central banks denominated and funded in the domestic currency (type 5 of exposure)</t>
    </r>
  </si>
  <si>
    <r>
      <t>g</t>
    </r>
    <r>
      <rPr>
        <vertAlign val="subscript"/>
        <sz val="11"/>
        <rFont val="Calibri"/>
        <family val="2"/>
        <scheme val="minor"/>
      </rPr>
      <t>i</t>
    </r>
    <r>
      <rPr>
        <sz val="11"/>
        <rFont val="Calibri"/>
        <family val="2"/>
        <scheme val="minor"/>
      </rPr>
      <t xml:space="preserve"> for property (type 4 of exposure)</t>
    </r>
  </si>
  <si>
    <t>Solvency ratio (for unrated undertakings subject to SII)</t>
  </si>
  <si>
    <t>Threshold for covered bonds (type 3 of exposure)</t>
  </si>
  <si>
    <t>2 - Single-name exposures to unrated undertakings subject to Solvency II and to unrated credit or financial institutions</t>
  </si>
  <si>
    <t>4 - Property exposures</t>
  </si>
  <si>
    <r>
      <t>Type 1 exposures (VaR</t>
    </r>
    <r>
      <rPr>
        <vertAlign val="subscript"/>
        <sz val="11"/>
        <color theme="1"/>
        <rFont val="Calibri"/>
        <family val="2"/>
        <scheme val="minor"/>
      </rPr>
      <t>(def,1)</t>
    </r>
    <r>
      <rPr>
        <sz val="11"/>
        <color theme="1"/>
        <rFont val="Calibri"/>
        <family val="2"/>
        <scheme val="minor"/>
      </rPr>
      <t>)</t>
    </r>
  </si>
  <si>
    <r>
      <t>Type 2 exposures (VaR</t>
    </r>
    <r>
      <rPr>
        <vertAlign val="subscript"/>
        <sz val="11"/>
        <color theme="1"/>
        <rFont val="Calibri"/>
        <family val="2"/>
        <scheme val="minor"/>
      </rPr>
      <t>(def,2)</t>
    </r>
    <r>
      <rPr>
        <sz val="11"/>
        <color theme="1"/>
        <rFont val="Calibri"/>
        <family val="2"/>
        <scheme val="minor"/>
      </rPr>
      <t>)</t>
    </r>
  </si>
  <si>
    <r>
      <t>Value at Risk (VaR</t>
    </r>
    <r>
      <rPr>
        <vertAlign val="subscript"/>
        <sz val="11"/>
        <color theme="1"/>
        <rFont val="Calibri"/>
        <family val="2"/>
        <scheme val="minor"/>
      </rPr>
      <t>def</t>
    </r>
    <r>
      <rPr>
        <sz val="11"/>
        <color theme="1"/>
        <rFont val="Calibri"/>
        <family val="2"/>
        <scheme val="minor"/>
      </rPr>
      <t>)</t>
    </r>
  </si>
  <si>
    <r>
      <t>Collateral taken into account in proportional share determination in case of credit risk event</t>
    </r>
    <r>
      <rPr>
        <sz val="11"/>
        <color theme="1"/>
        <rFont val="Calibri"/>
        <family val="2"/>
        <scheme val="minor"/>
      </rPr>
      <t>?</t>
    </r>
  </si>
  <si>
    <t>Collateral Market Value</t>
  </si>
  <si>
    <t>Adjustment for market risk</t>
  </si>
  <si>
    <t xml:space="preserve">02. Unrated third country insurance or reinsurance undertakings and credit and financial institutions </t>
  </si>
  <si>
    <t>Solvency ratio</t>
  </si>
  <si>
    <t>Solvency ratio
(for single name exposures to unrated undertakings subject to Solvency II)</t>
  </si>
  <si>
    <t>Solvency ratio (for single name exposures to unrated undertakings subject to Solvency II)
 ---
Also to be filled in for single name exposures to unrated credit or financial institutions</t>
  </si>
  <si>
    <t>ai</t>
  </si>
  <si>
    <t>Bonds (exposures to undertakings subject to Solvency II which do not meet their minimum capital requirement )</t>
  </si>
  <si>
    <t xml:space="preserve">Unrated third country insurance or reinsurance undertakings and credit and financial institutions </t>
  </si>
  <si>
    <t>Unrated insurance or reinsurance undertakings</t>
  </si>
  <si>
    <t>Bonds (specific unrated exposures)</t>
  </si>
  <si>
    <t xml:space="preserve">Unrated exposures for which debtors have posted collateral </t>
  </si>
  <si>
    <t>Other specific exposures</t>
  </si>
  <si>
    <t>Counterparty default</t>
  </si>
  <si>
    <t>Net value at risk considering only LAC of:</t>
  </si>
  <si>
    <t xml:space="preserve">Conditional </t>
  </si>
  <si>
    <t>Sponsor</t>
  </si>
  <si>
    <t>support</t>
  </si>
  <si>
    <t>Benefit</t>
  </si>
  <si>
    <t>Gross / net</t>
  </si>
  <si>
    <t>Gross and net value at risk</t>
  </si>
  <si>
    <t>Adjustment</t>
  </si>
  <si>
    <t>Of which:</t>
  </si>
  <si>
    <t>Net VaR considering only LAC of:</t>
  </si>
  <si>
    <t xml:space="preserve">Sponsor </t>
  </si>
  <si>
    <t>PPS</t>
  </si>
  <si>
    <t>Type 1 exposures</t>
  </si>
  <si>
    <t>Type 2 exposures</t>
  </si>
  <si>
    <t>Calculation loss-absorbing capacity of technical provisions and security mechanisms</t>
  </si>
  <si>
    <t>Calculation intangible asset risk</t>
  </si>
  <si>
    <t>Overview intangible asset risk</t>
  </si>
  <si>
    <t>Calculation operational risk</t>
  </si>
  <si>
    <t>Overview operational risk</t>
  </si>
  <si>
    <t>Overview SRA risk modules</t>
  </si>
  <si>
    <t>Standardised Value at Risk</t>
  </si>
  <si>
    <t>Calculation loss-absorbing capacity of technical provisions and security mechanisms as a whole</t>
  </si>
  <si>
    <t>Maximum value of security and benefit adjustment mechanisms available for LAC</t>
  </si>
  <si>
    <t>Maximum</t>
  </si>
  <si>
    <t>Available</t>
  </si>
  <si>
    <t>Loss-absorbing capacity of deferred taxes</t>
  </si>
  <si>
    <t>Adjustment for loss-absorbing capacity</t>
  </si>
  <si>
    <t>Adjustment for loss-absorbing capacity (Adj)</t>
  </si>
  <si>
    <t>Benefit reductions</t>
  </si>
  <si>
    <t>Adj technical provisions &amp; security mechanisms</t>
  </si>
  <si>
    <t>Adj deferred taxes</t>
  </si>
  <si>
    <t>Risk-specific</t>
  </si>
  <si>
    <t>IORP as a whole</t>
  </si>
  <si>
    <t>Overview calculation of loss-absorbing capacity of technical provisions and security mechanisms as a whole</t>
  </si>
  <si>
    <t>Excess of asset over liabilities</t>
  </si>
  <si>
    <t>Excess of asset over liabilities - pre-stress</t>
  </si>
  <si>
    <t>Excess of assets over liabilities - post-stress</t>
  </si>
  <si>
    <t>Adjustment for LAC of deferred taxes</t>
  </si>
  <si>
    <t>4.3.3</t>
  </si>
  <si>
    <t>4.3.39</t>
  </si>
  <si>
    <t>4.3.40</t>
  </si>
  <si>
    <t>4.3.50</t>
  </si>
  <si>
    <t>4.3.53</t>
  </si>
  <si>
    <t>4.3.54</t>
  </si>
  <si>
    <t>4.3.62</t>
  </si>
  <si>
    <t>4.3.70</t>
  </si>
  <si>
    <t>4.3.113</t>
  </si>
  <si>
    <t>4.3.114</t>
  </si>
  <si>
    <t>4.3.46</t>
  </si>
  <si>
    <t>4.3.59</t>
  </si>
  <si>
    <t>4.3.12</t>
  </si>
  <si>
    <t>4.3.19</t>
  </si>
  <si>
    <t>4.4.4</t>
  </si>
  <si>
    <t>4.2.3</t>
  </si>
  <si>
    <t>4.2.10</t>
  </si>
  <si>
    <t>4.2.24</t>
  </si>
  <si>
    <t>4.2.37</t>
  </si>
  <si>
    <t>4.5.2</t>
  </si>
  <si>
    <t>4.6.2</t>
  </si>
  <si>
    <t>4.6.2(c)</t>
  </si>
  <si>
    <t>4.6.5</t>
  </si>
  <si>
    <t>4.6.4</t>
  </si>
  <si>
    <t>4.7.20</t>
  </si>
  <si>
    <t>4.7.13</t>
  </si>
  <si>
    <t>4.7.14</t>
  </si>
  <si>
    <t>4.7.15</t>
  </si>
  <si>
    <t>4.7.16</t>
  </si>
  <si>
    <t>4.7.11</t>
  </si>
  <si>
    <t>4.7.12</t>
  </si>
  <si>
    <t>4.1.14</t>
  </si>
  <si>
    <t>Nature of loss absorbing capacity</t>
  </si>
  <si>
    <t>IORPs are advised to consider the following in completing this sheet:</t>
  </si>
  <si>
    <t>Where the LAC of technical provisions and security mechanisms depends on losses of the IORP as a whole:</t>
  </si>
  <si>
    <t>Where the LAC of technical provisions and security mechanisms does NOT depend on losses of the IORP as a whole:</t>
  </si>
  <si>
    <t>Note that sponsor support cannot absorb losses of the IORP as a whole (since it cannot cover for its own counterparty default risk) unless the conditions for the balancing item approach to the valuation of sponsor support are fulfilled. See paragraph 4.7.28 of the principles and technical specifications.</t>
  </si>
  <si>
    <t>MILLIONS</t>
  </si>
  <si>
    <t>31 December 2018</t>
  </si>
  <si>
    <t>Magnitude of the calculation 'as a whole' shock</t>
  </si>
  <si>
    <t>Implemented magnitude of the 'as a whole' shock</t>
  </si>
  <si>
    <t>Magnitude of the 'type 1' shock</t>
  </si>
  <si>
    <t>Implemented 'type 1' shock</t>
  </si>
  <si>
    <t>Magnitude of the 'type 2' shock</t>
  </si>
  <si>
    <t>Implemented 'type 2' shock</t>
  </si>
  <si>
    <t>Magnitude of the 'intangible asset' shock</t>
  </si>
  <si>
    <t>Implemented 'intangible asset' shock</t>
  </si>
  <si>
    <t>Magnitude of the 'operational risk' shock</t>
  </si>
  <si>
    <t>Implemented 'operational risk' shock</t>
  </si>
  <si>
    <t>07.Derivative</t>
  </si>
  <si>
    <t>Sponsor support / Recoverables/ Market Value/Loan</t>
  </si>
  <si>
    <t xml:space="preserve">Indicate in the table “Nature of loss absorbing capacity”  that the loss absorbing capacity of technical provisions and/or security mechanisms covers the IORP as a whole rather than specific risks. If the loss absorbing capacity applies to the IORP as a whole then IORPs do not have to calculate stressed balance sheets including loss absorbency for every (sub-)risk module. Instead, IORPs will only have to calculate the two stressed balance sheets in rows 42..43 (one without LAC and one with LAC) resulting from the instantaneous loss equal to the Basic Standardised Value at Risk (BSVaR) + the value at risk for operational risk. Since these two stressed balance sheets depend on the BSVaR and the value at risk for operational risk, they can only be calculated once all the SRA (sub-)modules are completed. Complete the remaining cells in the table with the maximum value of sponsor support and pension protection schemes and - where relevant and as a last step - the loss-absorbing capacity of deferred taxes. </t>
  </si>
  <si>
    <t>4.1.17</t>
  </si>
  <si>
    <t>4.7.10</t>
  </si>
  <si>
    <t>4.7.23</t>
  </si>
  <si>
    <t>4.7.19</t>
  </si>
  <si>
    <t>4.7.28</t>
  </si>
  <si>
    <t>4.3.38</t>
  </si>
  <si>
    <t>4.3.92</t>
  </si>
  <si>
    <t>4.3.115</t>
  </si>
  <si>
    <t>4.3.79</t>
  </si>
  <si>
    <t>4.2.7</t>
  </si>
  <si>
    <t>4.2.13</t>
  </si>
  <si>
    <t>4.2.19</t>
  </si>
  <si>
    <t>4.2.28</t>
  </si>
  <si>
    <t>4.2.31</t>
  </si>
  <si>
    <t>4.2.32</t>
  </si>
  <si>
    <t>4.2.33</t>
  </si>
  <si>
    <t>4.2.35</t>
  </si>
  <si>
    <t>4.2.43</t>
  </si>
  <si>
    <t>4.2.16</t>
  </si>
  <si>
    <t>4.2.22</t>
  </si>
  <si>
    <t>4.2.25</t>
  </si>
  <si>
    <t>4.2.38</t>
  </si>
  <si>
    <t>4.2.46</t>
  </si>
  <si>
    <t>Difference/not allocated</t>
  </si>
  <si>
    <t>%</t>
  </si>
  <si>
    <t>Cell</t>
  </si>
  <si>
    <t>Status</t>
  </si>
  <si>
    <t>Alert</t>
  </si>
  <si>
    <t>H8</t>
  </si>
  <si>
    <t>H10</t>
  </si>
  <si>
    <t>H11</t>
  </si>
  <si>
    <t>E2</t>
  </si>
  <si>
    <t>E3</t>
  </si>
  <si>
    <t>D29</t>
  </si>
  <si>
    <t>B14</t>
  </si>
  <si>
    <t>I73</t>
  </si>
  <si>
    <t>D98</t>
  </si>
  <si>
    <t>D55</t>
  </si>
  <si>
    <t>D65</t>
  </si>
  <si>
    <t>D77</t>
  </si>
  <si>
    <t>D92</t>
  </si>
  <si>
    <t>D102</t>
  </si>
  <si>
    <t>D112</t>
  </si>
  <si>
    <t>D122</t>
  </si>
  <si>
    <t>D21</t>
  </si>
  <si>
    <t>D28</t>
  </si>
  <si>
    <t>3.9.1</t>
  </si>
  <si>
    <t>3.9.19</t>
  </si>
  <si>
    <t>3.8.1</t>
  </si>
  <si>
    <t>3.7.1</t>
  </si>
  <si>
    <t>3.6.1</t>
  </si>
  <si>
    <t>3.6.15</t>
  </si>
  <si>
    <t>3.4.1</t>
  </si>
  <si>
    <t>3.3.116</t>
  </si>
  <si>
    <t>3.3.1, 3.3.13, 3.3.20, 3.3.22,</t>
  </si>
  <si>
    <t>3.3.26, 3.3.37, 3.3.50</t>
  </si>
  <si>
    <t>3.3.86</t>
  </si>
  <si>
    <t>3.3.101</t>
  </si>
  <si>
    <t>3.3.102</t>
  </si>
  <si>
    <t>3.3.104</t>
  </si>
  <si>
    <t>3.1.8</t>
  </si>
  <si>
    <t>[Warnings]</t>
  </si>
  <si>
    <t xml:space="preserve">The [Warnings] sheet provides an overview of the status of some automatic alerts that are embedded throughout the tool. Some basic checks are performed relating to the inputs provided by IORPs, which may trigger an alert or guidance. </t>
  </si>
  <si>
    <t>Note that in cell H73 IORPs should complete the symmetric adjustment to the equity shock which is annually provided by EIOPA.</t>
  </si>
  <si>
    <t>In this sheet IORPs should complete the stressed balance sheets for the various risk sub-modules. IORPs should complete the stressed balance sheets without and with LAC if the loss absorbency of technical provisions and/or security mechanisms is limited to specific risks. IORPs should not allow for the loss-absorbing capacity of deferred taxes in the stressed balance sheets. IORPs only have to complete the stressed balance sheets without LAC if the loss absorbency applies to the IORP as a whole.</t>
  </si>
  <si>
    <t>In this sheet IORPs should fill in the information needed for the calculation of the gross Value at Risk for the counterparty default risk module (type 1 and type 2). If the loss absorbing capacity of technical provisions and/or security mechanisms is limited to specific risks then IORPs should calculate the stressed balance sheets (without and with LAC but not in relation to deferred taxes) in rows 107..110, assuming an instantaneous loss equal to the gross VaR for counterparty default risk (type 1 and type 2). Note that IORPs with LAC depending on losses of the IORP as a whole do not have to complete these stressed balance sheets (also not the one without LAC) since the gross VaR for counterparty default risk does not depend on a scenario-based calculation.</t>
  </si>
  <si>
    <t>In this sheet IORPs should complete the stressed balance sheets for the various risk sub-modules. IORPs should complete the stressed balance sheets without and with LAC if the loss absorbency of technical provisions and/or security mechanisms is limited to specific risks. IORPs should not allow for the loss-absorbing capacity of deferred taxes in the stressed balance sheets. IORPs only have to complete the stressed balance sheets without LAC if the loss absorbency applies to the IORP as a whole. The sheet also contains the simplifications in the various pension liability risk (sub-)modules. Note that when using these simplifications IORPs should still complete the stressed balance sheets (of course, only the one(s) without LAC when LAC depends on losses of the IORP as a whole), assuming an instantaneous loss equal to the gross VaR produced by the formula-based simplification.</t>
  </si>
  <si>
    <t>In this sheet IORPs should fill in the information needed for the calculation of the gross Value at Risk for the intangible asset risk module. If the loss absorbing capacity of technical provisions and/or security mechanisms is limited to specific risks then IORPs should calculate the stressed balance sheets (without and with LAC) in rows 28..29, assuming an instantaneous loss equal to the gross VaR for intangible asset risk. IORPs should not allow for the loss-absorbing capacity of deferred taxes in the stressed balance sheets. Note that IORPs with LAC depending on losses of the IORP as a whole do not have to complete these stressed balance sheets (also not the one without LAC) since the gross VaR for intangible asset risk does not depend on a scenario-based calculation.</t>
  </si>
  <si>
    <t>In this sheet IORPs should fill in the information needed for the calculation of the gross Value at Risk for the operational risk module. If the loss absorbing capacity of technical provisions and/or security mechanisms is limited to specific risks then IORPs should calculate the stressed balance sheets (without and with LAC) in rows 35..36, assuming an instantaneous loss equal to the gross VaR for operational risk. IORPs should not allow for the loss-absorbing capacity of deferred taxes in the stressed balance sheets. Note that IORPs with LAC depending on losses of the IORP as a whole do not have to complete these stressed balance sheets (also not the one without LAC) since the gross VaR for operational risk does not depend on a scenario-based calculation.</t>
  </si>
  <si>
    <t>This sheet aims at assisting IORPs in the calculation of discounted values using projected cash flows (e.g. for the calculation of best estimate), both in the (pre-stress) common balance sheet and the stressed balance sheets for the SRA interest rate risk sub-module. As a first step in using this sheet, IORPs should complete the risk-free interest rate curve and - where relevant - the inflation curve, as made available by EIOPA on an annual basis.</t>
  </si>
  <si>
    <t xml:space="preserve">Throughout the spreadsheet references are included to specific paragraphs in the principles and technical specifications for the common framework in order to assist IORPs in providing/recognising the requested information. </t>
  </si>
  <si>
    <t xml:space="preserve">IORPs where the LAC of technical provisions and security mechanisms covers specific risks, only have to complete the remaining cells in the table with the maximum value of sponsor support and pension protection schemes and - where relevant and as a last step when all other (sub-)modules have been completed - the loss-absorbing capacity of deferred taxes. </t>
  </si>
  <si>
    <t>However, these IORPs will have to calculate the stressed balanced sheets including loss-absorbency for each (sub-)module. Subsequently, the overall loss-absorbing capacity of technical provisions and security mechanisms will automatically be aggregated in the [Overview SRA] sheet. The difference in the total loss-absorbency between aggregating the total loss-absorbency for each (sub-)module and the sum of aggregating the loss-absorbency of security- and benefit adjustment mechanisms separately for each (sub-)module is included in cell H11. This difference, which cannot be allocated to specific security and benefit adjustment mechanisms, is not necearily equal to zero. Especially, when different security- and benefit adjustment mechanisms are to substantial different degrees responsible for absorbing losses in different (sub-)modules.</t>
  </si>
  <si>
    <t>Note that some sub-modules consist of an upward and a downward shock, like the interest rate risk and currency risk sub-modules. The choice of the most stressful shock can be very sensitive to the precise value of the pre-stress and post-stress excess of assets over liabilities. In particular, when the pre-stress and post-stress excess of assets over liabilities is (around) zero due to the loss-absorbing capacity of security and adjustment mechanisms. An IORP may in the absence of loss-absorbency be most impacted by - for example - the downward shock but the upward shock may (inadvertently) be selected due to rounding error. I.e. when the change in EAL (including the loss-absorbing capacity of security mechanisms and technical provisions) is slightly negative under the upward shock and slightly positive under the downward shock.</t>
  </si>
  <si>
    <t>Please be aware that all cells are unprotected.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</si>
</sst>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_-;\-* #,##0.00\ _€_-;_-* &quot;-&quot;??\ _€_-;_-@_-"/>
    <numFmt numFmtId="165" formatCode="0.000%"/>
    <numFmt numFmtId="166" formatCode="_-* #,##0\ _€_-;\-* #,##0\ _€_-;_-* &quot;-&quot;??\ _€_-;_-@_-"/>
    <numFmt numFmtId="167" formatCode="0.0000%"/>
    <numFmt numFmtId="168" formatCode="#,##0.00_ ;\-#,##0.00\ "/>
    <numFmt numFmtId="169" formatCode="#,##0.000"/>
    <numFmt numFmtId="170" formatCode="0.0%"/>
    <numFmt numFmtId="171" formatCode="0.0"/>
    <numFmt numFmtId="172" formatCode="#,##0.0000"/>
    <numFmt numFmtId="173" formatCode="#,##0.0"/>
  </numFmts>
  <fonts count="32" x14ac:knownFonts="1">
    <font>
      <sz val="11"/>
      <color theme="1"/>
      <name val="Calibri"/>
      <family val="2"/>
      <scheme val="minor"/>
    </font>
    <font>
      <sz val="10"/>
      <name val="Arial"/>
      <family val="2"/>
    </font>
    <font>
      <sz val="9"/>
      <name val="Arial"/>
      <family val="2"/>
    </font>
    <font>
      <sz val="9"/>
      <color indexed="81"/>
      <name val="Tahoma"/>
      <family val="2"/>
    </font>
    <font>
      <vertAlign val="superscript"/>
      <sz val="11"/>
      <color indexed="8"/>
      <name val="Calibri"/>
      <family val="2"/>
    </font>
    <font>
      <sz val="11"/>
      <color theme="1"/>
      <name val="Calibri"/>
      <family val="2"/>
      <scheme val="minor"/>
    </font>
    <font>
      <u/>
      <sz val="11"/>
      <color rgb="FF0000FF"/>
      <name val="Calibri"/>
      <family val="2"/>
      <scheme val="minor"/>
    </font>
    <font>
      <u/>
      <sz val="11"/>
      <color theme="10"/>
      <name val="Calibri"/>
      <family val="2"/>
      <scheme val="minor"/>
    </font>
    <font>
      <sz val="10"/>
      <color theme="1"/>
      <name val="Calibri"/>
      <family val="2"/>
      <scheme val="minor"/>
    </font>
    <font>
      <sz val="11"/>
      <color theme="0" tint="-0.14996795556505021"/>
      <name val="Calibri"/>
      <family val="2"/>
      <scheme val="minor"/>
    </font>
    <font>
      <b/>
      <sz val="11"/>
      <color theme="1"/>
      <name val="Calibri"/>
      <family val="2"/>
      <scheme val="minor"/>
    </font>
    <font>
      <b/>
      <sz val="11"/>
      <color theme="0"/>
      <name val="Calibri"/>
      <family val="2"/>
      <scheme val="minor"/>
    </font>
    <font>
      <i/>
      <sz val="11"/>
      <color theme="1"/>
      <name val="Calibri"/>
      <family val="2"/>
      <scheme val="minor"/>
    </font>
    <font>
      <sz val="11"/>
      <name val="Calibri"/>
      <family val="2"/>
      <scheme val="minor"/>
    </font>
    <font>
      <b/>
      <sz val="11"/>
      <name val="Calibri"/>
      <family val="2"/>
      <scheme val="minor"/>
    </font>
    <font>
      <b/>
      <i/>
      <sz val="11"/>
      <color theme="1"/>
      <name val="Calibri"/>
      <family val="2"/>
      <scheme val="minor"/>
    </font>
    <font>
      <u/>
      <sz val="11"/>
      <name val="Calibri"/>
      <family val="2"/>
      <scheme val="minor"/>
    </font>
    <font>
      <sz val="11"/>
      <color indexed="8"/>
      <name val="Calibri"/>
      <family val="2"/>
      <scheme val="minor"/>
    </font>
    <font>
      <i/>
      <sz val="11"/>
      <name val="Calibri"/>
      <family val="2"/>
      <scheme val="minor"/>
    </font>
    <font>
      <b/>
      <sz val="11"/>
      <color rgb="FFFF0000"/>
      <name val="Calibri"/>
      <family val="2"/>
      <scheme val="minor"/>
    </font>
    <font>
      <sz val="10"/>
      <color theme="5" tint="-0.499984740745262"/>
      <name val="Calibri"/>
      <family val="2"/>
      <scheme val="minor"/>
    </font>
    <font>
      <u/>
      <sz val="9"/>
      <color indexed="81"/>
      <name val="Tahoma"/>
      <family val="2"/>
    </font>
    <font>
      <vertAlign val="superscript"/>
      <sz val="11"/>
      <name val="Calibri"/>
      <family val="2"/>
      <scheme val="minor"/>
    </font>
    <font>
      <vertAlign val="subscript"/>
      <sz val="11"/>
      <name val="Calibri"/>
      <family val="2"/>
      <scheme val="minor"/>
    </font>
    <font>
      <sz val="11"/>
      <color theme="1"/>
      <name val="Verdana"/>
      <family val="2"/>
    </font>
    <font>
      <vertAlign val="subscript"/>
      <sz val="11"/>
      <color theme="1"/>
      <name val="Calibri"/>
      <family val="2"/>
      <scheme val="minor"/>
    </font>
    <font>
      <vertAlign val="subscript"/>
      <sz val="11"/>
      <color indexed="8"/>
      <name val="Calibri"/>
      <family val="2"/>
      <scheme val="minor"/>
    </font>
    <font>
      <vertAlign val="superscript"/>
      <sz val="11"/>
      <color theme="1"/>
      <name val="Calibri"/>
      <family val="2"/>
      <scheme val="minor"/>
    </font>
    <font>
      <i/>
      <sz val="10"/>
      <color theme="1"/>
      <name val="Calibri"/>
      <family val="2"/>
      <scheme val="minor"/>
    </font>
    <font>
      <u/>
      <sz val="11"/>
      <color theme="1"/>
      <name val="Calibri"/>
      <family val="2"/>
      <scheme val="minor"/>
    </font>
    <font>
      <sz val="9"/>
      <color indexed="81"/>
      <name val="Tahoma"/>
      <charset val="1"/>
    </font>
    <font>
      <b/>
      <sz val="11"/>
      <color rgb="FF00B050"/>
      <name val="Calibri"/>
      <family val="2"/>
      <scheme val="minor"/>
    </font>
  </fonts>
  <fills count="21">
    <fill>
      <patternFill patternType="none"/>
    </fill>
    <fill>
      <patternFill patternType="gray125"/>
    </fill>
    <fill>
      <patternFill patternType="gray0625"/>
    </fill>
    <fill>
      <patternFill patternType="solid">
        <fgColor indexed="26"/>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rgb="FFFFFFCC"/>
        <bgColor indexed="64"/>
      </patternFill>
    </fill>
    <fill>
      <patternFill patternType="solid">
        <fgColor theme="9"/>
        <bgColor indexed="64"/>
      </patternFill>
    </fill>
    <fill>
      <patternFill patternType="solid">
        <fgColor rgb="FFCCFFFF"/>
        <bgColor indexed="64"/>
      </patternFill>
    </fill>
    <fill>
      <patternFill patternType="solid">
        <fgColor rgb="FFCCFFCC"/>
        <bgColor indexed="64"/>
      </patternFill>
    </fill>
    <fill>
      <patternFill patternType="solid">
        <fgColor rgb="FFD1FCFD"/>
        <bgColor indexed="64"/>
      </patternFill>
    </fill>
    <fill>
      <patternFill patternType="solid">
        <fgColor theme="9" tint="0.39997558519241921"/>
        <bgColor indexed="64"/>
      </patternFill>
    </fill>
    <fill>
      <patternFill patternType="solid">
        <fgColor indexed="27"/>
        <bgColor indexed="64"/>
      </patternFill>
    </fill>
    <fill>
      <patternFill patternType="solid">
        <fgColor indexed="9"/>
        <bgColor indexed="64"/>
      </patternFill>
    </fill>
    <fill>
      <patternFill patternType="solid">
        <fgColor theme="9" tint="0.3999450666829432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style="medium">
        <color indexed="64"/>
      </bottom>
      <diagonal/>
    </border>
  </borders>
  <cellStyleXfs count="22">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1" fillId="2" borderId="0" applyBorder="0"/>
    <xf numFmtId="3" fontId="8" fillId="3" borderId="0" applyBorder="0">
      <alignment horizontal="right" vertical="center"/>
    </xf>
    <xf numFmtId="3" fontId="8" fillId="4" borderId="0" applyBorder="0">
      <alignment horizontal="right" vertical="center"/>
      <protection locked="0"/>
    </xf>
    <xf numFmtId="0" fontId="5" fillId="5" borderId="0" applyNumberFormat="0" applyFont="0" applyBorder="0" applyAlignment="0"/>
    <xf numFmtId="3" fontId="8" fillId="7" borderId="0" applyBorder="0" applyAlignment="0">
      <alignment horizontal="right"/>
    </xf>
    <xf numFmtId="164" fontId="5" fillId="0" borderId="0" applyFont="0" applyFill="0" applyBorder="0" applyAlignment="0" applyProtection="0"/>
    <xf numFmtId="0" fontId="5" fillId="0" borderId="0"/>
    <xf numFmtId="0" fontId="5" fillId="0" borderId="0"/>
    <xf numFmtId="0" fontId="5" fillId="0" borderId="0"/>
    <xf numFmtId="0" fontId="1" fillId="0" borderId="0"/>
    <xf numFmtId="9" fontId="5" fillId="0" borderId="0" applyFont="0" applyFill="0" applyBorder="0" applyAlignment="0" applyProtection="0"/>
    <xf numFmtId="9" fontId="5" fillId="0" borderId="0" applyFont="0" applyFill="0" applyBorder="0" applyAlignment="0" applyProtection="0"/>
    <xf numFmtId="0" fontId="2" fillId="3" borderId="0" applyNumberFormat="0" applyBorder="0">
      <alignment horizontal="right"/>
      <protection locked="0"/>
    </xf>
    <xf numFmtId="0" fontId="1" fillId="5" borderId="1" applyNumberFormat="0" applyFont="0" applyBorder="0" applyAlignment="0">
      <alignment horizontal="center" wrapText="1"/>
    </xf>
    <xf numFmtId="0" fontId="9" fillId="8" borderId="0" applyNumberFormat="0" applyBorder="0" applyAlignment="0"/>
    <xf numFmtId="171" fontId="2" fillId="18" borderId="1" applyNumberFormat="0" applyBorder="0" applyAlignment="0">
      <alignment horizontal="right"/>
      <protection locked="0"/>
    </xf>
    <xf numFmtId="0" fontId="2" fillId="3" borderId="0" applyNumberFormat="0" applyBorder="0">
      <alignment horizontal="right"/>
      <protection locked="0"/>
    </xf>
    <xf numFmtId="3" fontId="8" fillId="3" borderId="0" applyBorder="0" applyProtection="0">
      <alignment horizontal="right" vertical="center"/>
    </xf>
    <xf numFmtId="3" fontId="8" fillId="4" borderId="0" applyBorder="0">
      <alignment horizontal="right" vertical="center"/>
      <protection locked="0"/>
    </xf>
  </cellStyleXfs>
  <cellXfs count="829">
    <xf numFmtId="0" fontId="0" fillId="0" borderId="0" xfId="0"/>
    <xf numFmtId="0" fontId="0" fillId="0" borderId="0" xfId="0" applyBorder="1"/>
    <xf numFmtId="0" fontId="11" fillId="10" borderId="9" xfId="0" quotePrefix="1" applyFont="1" applyFill="1" applyBorder="1" applyAlignment="1" applyProtection="1">
      <alignment horizontal="left"/>
      <protection locked="0"/>
    </xf>
    <xf numFmtId="0" fontId="11" fillId="10" borderId="10" xfId="0" quotePrefix="1" applyFont="1" applyFill="1" applyBorder="1" applyAlignment="1" applyProtection="1">
      <alignment horizontal="left"/>
      <protection locked="0"/>
    </xf>
    <xf numFmtId="0" fontId="11" fillId="10" borderId="11" xfId="0" quotePrefix="1" applyFont="1" applyFill="1" applyBorder="1" applyAlignment="1" applyProtection="1">
      <alignment horizontal="left"/>
      <protection locked="0"/>
    </xf>
    <xf numFmtId="0" fontId="0" fillId="0" borderId="0" xfId="0" applyFont="1" applyAlignment="1">
      <alignment horizontal="left"/>
    </xf>
    <xf numFmtId="0" fontId="13" fillId="12" borderId="12" xfId="0" quotePrefix="1" applyFont="1" applyFill="1" applyBorder="1" applyAlignment="1">
      <alignment horizontal="left"/>
    </xf>
    <xf numFmtId="0" fontId="13" fillId="8" borderId="12" xfId="0" quotePrefix="1" applyFont="1" applyFill="1" applyBorder="1" applyAlignment="1">
      <alignment horizontal="left"/>
    </xf>
    <xf numFmtId="0" fontId="13" fillId="13" borderId="12" xfId="0" quotePrefix="1" applyFont="1" applyFill="1" applyBorder="1" applyAlignment="1">
      <alignment horizontal="left"/>
    </xf>
    <xf numFmtId="0" fontId="13" fillId="7" borderId="12" xfId="0" quotePrefix="1" applyFont="1" applyFill="1" applyBorder="1" applyAlignment="1">
      <alignment horizontal="left"/>
    </xf>
    <xf numFmtId="0" fontId="13" fillId="8" borderId="12" xfId="0" applyFont="1" applyFill="1" applyBorder="1" applyAlignment="1" applyProtection="1">
      <alignment horizontal="left"/>
    </xf>
    <xf numFmtId="0" fontId="13" fillId="13" borderId="12" xfId="0" applyFont="1" applyFill="1" applyBorder="1" applyAlignment="1" applyProtection="1">
      <alignment horizontal="left"/>
    </xf>
    <xf numFmtId="0" fontId="13" fillId="7" borderId="12" xfId="0" applyFont="1" applyFill="1" applyBorder="1" applyAlignment="1" applyProtection="1">
      <alignment horizontal="left"/>
    </xf>
    <xf numFmtId="0" fontId="13" fillId="12" borderId="12" xfId="0" applyFont="1" applyFill="1" applyBorder="1" applyAlignment="1" applyProtection="1">
      <alignment horizontal="left"/>
    </xf>
    <xf numFmtId="0" fontId="13" fillId="12" borderId="14" xfId="0" applyFont="1" applyFill="1" applyBorder="1" applyAlignment="1">
      <alignment horizontal="left"/>
    </xf>
    <xf numFmtId="0" fontId="11" fillId="9" borderId="1" xfId="0" applyFont="1" applyFill="1" applyBorder="1" applyAlignment="1">
      <alignment horizontal="left"/>
    </xf>
    <xf numFmtId="0" fontId="11" fillId="9" borderId="1" xfId="0" applyFont="1" applyFill="1" applyBorder="1" applyAlignment="1">
      <alignment horizontal="center"/>
    </xf>
    <xf numFmtId="0" fontId="0" fillId="11" borderId="0" xfId="0" applyFont="1" applyFill="1" applyAlignment="1">
      <alignment horizontal="center"/>
    </xf>
    <xf numFmtId="0" fontId="0" fillId="0" borderId="0" xfId="0" applyFont="1" applyBorder="1" applyAlignment="1">
      <alignment horizontal="left"/>
    </xf>
    <xf numFmtId="0" fontId="13" fillId="14" borderId="12" xfId="0" applyFont="1" applyFill="1" applyBorder="1" applyAlignment="1" applyProtection="1">
      <alignment horizontal="left"/>
    </xf>
    <xf numFmtId="0" fontId="13" fillId="14" borderId="12" xfId="0" quotePrefix="1" applyFont="1" applyFill="1" applyBorder="1" applyAlignment="1">
      <alignment horizontal="left"/>
    </xf>
    <xf numFmtId="0" fontId="10" fillId="5" borderId="9" xfId="6" applyFont="1" applyBorder="1" applyAlignment="1">
      <alignment horizontal="left"/>
    </xf>
    <xf numFmtId="0" fontId="10" fillId="5" borderId="1" xfId="6" applyFont="1" applyBorder="1" applyAlignment="1">
      <alignment horizontal="left"/>
    </xf>
    <xf numFmtId="0" fontId="13" fillId="15" borderId="1" xfId="9" applyFont="1" applyFill="1" applyBorder="1" applyAlignment="1">
      <alignment horizontal="center" vertical="center" wrapText="1"/>
    </xf>
    <xf numFmtId="0" fontId="11" fillId="10" borderId="2" xfId="0" quotePrefix="1" applyFont="1" applyFill="1" applyBorder="1" applyAlignment="1" applyProtection="1">
      <alignment horizontal="left"/>
      <protection locked="0"/>
    </xf>
    <xf numFmtId="0" fontId="13" fillId="2" borderId="7" xfId="3" applyFont="1" applyBorder="1" applyAlignment="1" applyProtection="1">
      <alignment horizontal="left"/>
      <protection locked="0"/>
    </xf>
    <xf numFmtId="0" fontId="13" fillId="2" borderId="2" xfId="3" applyFont="1" applyBorder="1" applyAlignment="1" applyProtection="1">
      <alignment horizontal="left"/>
      <protection locked="0"/>
    </xf>
    <xf numFmtId="0" fontId="13" fillId="2" borderId="3" xfId="3" applyFont="1" applyBorder="1" applyAlignment="1" applyProtection="1">
      <alignment horizontal="left"/>
      <protection locked="0"/>
    </xf>
    <xf numFmtId="0" fontId="13" fillId="2" borderId="8" xfId="3" applyFont="1" applyBorder="1" applyAlignment="1" applyProtection="1">
      <alignment horizontal="left"/>
      <protection locked="0"/>
    </xf>
    <xf numFmtId="0" fontId="13" fillId="2" borderId="4" xfId="3" applyFont="1" applyBorder="1" applyAlignment="1" applyProtection="1">
      <alignment horizontal="left"/>
      <protection locked="0"/>
    </xf>
    <xf numFmtId="0" fontId="13" fillId="2" borderId="5" xfId="3" applyFont="1" applyBorder="1" applyAlignment="1" applyProtection="1">
      <alignment horizontal="left"/>
      <protection locked="0"/>
    </xf>
    <xf numFmtId="0" fontId="13" fillId="2" borderId="0" xfId="3" applyFont="1" applyBorder="1" applyAlignment="1" applyProtection="1">
      <alignment horizontal="left"/>
      <protection locked="0"/>
    </xf>
    <xf numFmtId="0" fontId="13" fillId="2" borderId="15" xfId="3" applyFont="1" applyBorder="1" applyAlignment="1" applyProtection="1">
      <alignment horizontal="left"/>
      <protection locked="0"/>
    </xf>
    <xf numFmtId="0" fontId="13" fillId="2" borderId="13" xfId="3" applyFont="1" applyBorder="1" applyAlignment="1" applyProtection="1">
      <alignment horizontal="left"/>
      <protection locked="0"/>
    </xf>
    <xf numFmtId="0" fontId="13" fillId="2" borderId="14" xfId="3" applyFont="1" applyBorder="1" applyAlignment="1" applyProtection="1">
      <alignment horizontal="left"/>
      <protection locked="0"/>
    </xf>
    <xf numFmtId="0" fontId="6" fillId="0" borderId="0" xfId="1" quotePrefix="1" applyFont="1" applyFill="1" applyBorder="1" applyAlignment="1" applyProtection="1">
      <alignment horizontal="right" vertical="center" wrapText="1"/>
      <protection locked="0"/>
    </xf>
    <xf numFmtId="0" fontId="5" fillId="5" borderId="13" xfId="6" applyFont="1" applyBorder="1" applyAlignment="1">
      <alignment horizontal="left"/>
    </xf>
    <xf numFmtId="0" fontId="5" fillId="5" borderId="14" xfId="6" applyFont="1" applyBorder="1" applyAlignment="1">
      <alignment horizontal="left"/>
    </xf>
    <xf numFmtId="0" fontId="5" fillId="5" borderId="12" xfId="6" applyFont="1" applyBorder="1" applyAlignment="1">
      <alignment horizontal="left"/>
    </xf>
    <xf numFmtId="0" fontId="5" fillId="5" borderId="9" xfId="6" applyFont="1" applyBorder="1" applyAlignment="1">
      <alignment horizontal="left"/>
    </xf>
    <xf numFmtId="0" fontId="5" fillId="5" borderId="7" xfId="6" applyFont="1" applyBorder="1" applyAlignment="1">
      <alignment horizontal="left"/>
    </xf>
    <xf numFmtId="3" fontId="5" fillId="4" borderId="12" xfId="5" applyFont="1" applyBorder="1" applyAlignment="1" applyProtection="1">
      <alignment horizontal="right" vertical="center"/>
      <protection locked="0"/>
    </xf>
    <xf numFmtId="3" fontId="5" fillId="4" borderId="14" xfId="5" applyNumberFormat="1" applyFont="1" applyBorder="1" applyAlignment="1" applyProtection="1">
      <alignment horizontal="right" vertical="center"/>
      <protection locked="0"/>
    </xf>
    <xf numFmtId="3" fontId="5" fillId="4" borderId="14" xfId="5" applyFont="1" applyBorder="1" applyAlignment="1" applyProtection="1">
      <alignment horizontal="right" vertical="center"/>
      <protection locked="0"/>
    </xf>
    <xf numFmtId="0" fontId="5" fillId="5" borderId="9" xfId="6" quotePrefix="1" applyFont="1" applyBorder="1" applyAlignment="1">
      <alignment horizontal="left"/>
    </xf>
    <xf numFmtId="3" fontId="5" fillId="4" borderId="1" xfId="5" applyFont="1" applyBorder="1" applyAlignment="1" applyProtection="1">
      <alignment horizontal="right" vertical="center"/>
      <protection locked="0"/>
    </xf>
    <xf numFmtId="0" fontId="13" fillId="2" borderId="9" xfId="3" applyFont="1" applyBorder="1" applyAlignment="1" applyProtection="1">
      <alignment horizontal="left"/>
      <protection locked="0"/>
    </xf>
    <xf numFmtId="0" fontId="13" fillId="2" borderId="10" xfId="3" applyFont="1" applyBorder="1" applyAlignment="1" applyProtection="1">
      <alignment horizontal="left"/>
      <protection locked="0"/>
    </xf>
    <xf numFmtId="0" fontId="13" fillId="2" borderId="11" xfId="3" applyFont="1" applyBorder="1" applyAlignment="1" applyProtection="1">
      <alignment horizontal="left"/>
      <protection locked="0"/>
    </xf>
    <xf numFmtId="0" fontId="13" fillId="2" borderId="3" xfId="3" applyFont="1" applyBorder="1" applyAlignment="1" applyProtection="1">
      <alignment horizontal="right"/>
      <protection locked="0"/>
    </xf>
    <xf numFmtId="0" fontId="13" fillId="2" borderId="5" xfId="3" applyFont="1" applyBorder="1" applyAlignment="1" applyProtection="1">
      <alignment horizontal="right"/>
      <protection locked="0"/>
    </xf>
    <xf numFmtId="0" fontId="5" fillId="5" borderId="1" xfId="6" applyFont="1" applyBorder="1" applyAlignment="1" applyProtection="1">
      <alignment horizontal="left"/>
      <protection locked="0"/>
    </xf>
    <xf numFmtId="0" fontId="5" fillId="5" borderId="15" xfId="6" applyFont="1" applyBorder="1" applyAlignment="1" applyProtection="1">
      <alignment horizontal="left"/>
      <protection locked="0"/>
    </xf>
    <xf numFmtId="0" fontId="13" fillId="6" borderId="0" xfId="0" applyFont="1" applyFill="1" applyAlignment="1">
      <alignment horizontal="center"/>
    </xf>
    <xf numFmtId="0" fontId="5" fillId="5" borderId="1" xfId="6" applyFont="1" applyBorder="1" applyAlignment="1" applyProtection="1">
      <alignment horizontal="center"/>
      <protection locked="0"/>
    </xf>
    <xf numFmtId="0" fontId="5" fillId="5" borderId="5" xfId="6" applyFont="1" applyBorder="1" applyAlignment="1" applyProtection="1">
      <alignment horizontal="center"/>
      <protection locked="0"/>
    </xf>
    <xf numFmtId="3" fontId="5" fillId="3" borderId="10" xfId="4" applyFont="1" applyBorder="1" applyAlignment="1" applyProtection="1">
      <alignment horizontal="right" vertical="center"/>
      <protection locked="0"/>
    </xf>
    <xf numFmtId="0" fontId="5" fillId="5" borderId="8" xfId="6" applyFont="1" applyBorder="1" applyAlignment="1" applyProtection="1">
      <alignment horizontal="left"/>
      <protection locked="0"/>
    </xf>
    <xf numFmtId="0" fontId="13" fillId="2" borderId="15" xfId="3" applyFont="1" applyBorder="1" applyAlignment="1" applyProtection="1">
      <alignment horizontal="right"/>
      <protection locked="0"/>
    </xf>
    <xf numFmtId="3" fontId="5" fillId="4" borderId="13" xfId="5" applyFont="1" applyBorder="1" applyAlignment="1" applyProtection="1">
      <alignment horizontal="right" vertical="center"/>
      <protection locked="0"/>
    </xf>
    <xf numFmtId="0" fontId="5" fillId="5" borderId="3" xfId="6" applyFont="1" applyBorder="1" applyAlignment="1" applyProtection="1">
      <alignment horizontal="left"/>
      <protection locked="0"/>
    </xf>
    <xf numFmtId="0" fontId="5" fillId="5" borderId="5" xfId="6" applyFont="1" applyBorder="1" applyAlignment="1" applyProtection="1">
      <alignment horizontal="left"/>
      <protection locked="0"/>
    </xf>
    <xf numFmtId="0" fontId="13" fillId="2" borderId="6" xfId="3" applyFont="1" applyBorder="1" applyAlignment="1" applyProtection="1">
      <alignment horizontal="left"/>
      <protection locked="0"/>
    </xf>
    <xf numFmtId="0" fontId="5" fillId="5" borderId="13" xfId="6" applyFont="1" applyBorder="1" applyAlignment="1" applyProtection="1">
      <alignment horizontal="left"/>
      <protection locked="0"/>
    </xf>
    <xf numFmtId="0" fontId="5" fillId="5" borderId="12" xfId="6" applyFont="1" applyBorder="1" applyAlignment="1" applyProtection="1">
      <alignment horizontal="left"/>
      <protection locked="0"/>
    </xf>
    <xf numFmtId="3" fontId="5" fillId="4" borderId="7" xfId="5" applyFont="1" applyBorder="1" applyAlignment="1" applyProtection="1">
      <alignment horizontal="right" vertical="center"/>
      <protection locked="0"/>
    </xf>
    <xf numFmtId="3" fontId="5" fillId="4" borderId="2" xfId="5" applyFont="1" applyBorder="1" applyAlignment="1" applyProtection="1">
      <alignment horizontal="right" vertical="center"/>
      <protection locked="0"/>
    </xf>
    <xf numFmtId="3" fontId="5" fillId="4" borderId="3" xfId="5" applyFont="1" applyBorder="1" applyAlignment="1" applyProtection="1">
      <alignment horizontal="right" vertical="center"/>
      <protection locked="0"/>
    </xf>
    <xf numFmtId="3" fontId="5" fillId="4" borderId="8" xfId="5" applyFont="1" applyBorder="1" applyAlignment="1" applyProtection="1">
      <alignment horizontal="right" vertical="center"/>
      <protection locked="0"/>
    </xf>
    <xf numFmtId="3" fontId="5" fillId="4" borderId="4" xfId="5" applyFont="1" applyBorder="1" applyAlignment="1" applyProtection="1">
      <alignment horizontal="right" vertical="center"/>
      <protection locked="0"/>
    </xf>
    <xf numFmtId="3" fontId="5" fillId="4" borderId="5" xfId="5" applyFont="1" applyBorder="1" applyAlignment="1" applyProtection="1">
      <alignment horizontal="right" vertical="center"/>
      <protection locked="0"/>
    </xf>
    <xf numFmtId="0" fontId="5" fillId="0" borderId="6" xfId="9" applyFont="1" applyBorder="1" applyAlignment="1">
      <alignment horizontal="left" vertical="center"/>
    </xf>
    <xf numFmtId="0" fontId="5" fillId="0" borderId="8" xfId="9" applyFont="1" applyBorder="1" applyAlignment="1">
      <alignment horizontal="left" vertical="center"/>
    </xf>
    <xf numFmtId="0" fontId="5" fillId="15" borderId="1" xfId="9" applyFont="1" applyFill="1" applyBorder="1" applyAlignment="1">
      <alignment horizontal="center" vertical="center" wrapText="1"/>
    </xf>
    <xf numFmtId="0" fontId="5" fillId="5" borderId="13" xfId="6" applyFont="1" applyBorder="1" applyAlignment="1" applyProtection="1">
      <alignment horizontal="center"/>
      <protection locked="0"/>
    </xf>
    <xf numFmtId="0" fontId="5" fillId="5" borderId="12" xfId="6" applyFont="1" applyBorder="1" applyAlignment="1" applyProtection="1">
      <alignment horizontal="center"/>
      <protection locked="0"/>
    </xf>
    <xf numFmtId="0" fontId="5" fillId="5" borderId="14" xfId="6" applyFont="1" applyBorder="1" applyAlignment="1" applyProtection="1">
      <alignment horizontal="center"/>
      <protection locked="0"/>
    </xf>
    <xf numFmtId="0" fontId="13" fillId="2" borderId="7" xfId="3" applyFont="1" applyBorder="1" applyAlignment="1" applyProtection="1">
      <alignment horizontal="right"/>
      <protection locked="0"/>
    </xf>
    <xf numFmtId="0" fontId="13" fillId="2" borderId="2" xfId="3" applyFont="1" applyBorder="1" applyAlignment="1" applyProtection="1">
      <alignment horizontal="right"/>
      <protection locked="0"/>
    </xf>
    <xf numFmtId="0" fontId="13" fillId="2" borderId="8" xfId="3" applyFont="1" applyBorder="1" applyAlignment="1" applyProtection="1">
      <alignment horizontal="right"/>
      <protection locked="0"/>
    </xf>
    <xf numFmtId="0" fontId="13" fillId="2" borderId="4" xfId="3" applyFont="1" applyBorder="1" applyAlignment="1" applyProtection="1">
      <alignment horizontal="right"/>
      <protection locked="0"/>
    </xf>
    <xf numFmtId="0" fontId="13" fillId="2" borderId="0" xfId="3" applyFont="1" applyBorder="1" applyAlignment="1" applyProtection="1">
      <alignment horizontal="right"/>
      <protection locked="0"/>
    </xf>
    <xf numFmtId="0" fontId="13" fillId="2" borderId="13" xfId="3" applyFont="1" applyBorder="1" applyAlignment="1" applyProtection="1">
      <alignment horizontal="right"/>
      <protection locked="0"/>
    </xf>
    <xf numFmtId="0" fontId="13" fillId="2" borderId="14" xfId="3" applyFont="1" applyBorder="1" applyAlignment="1" applyProtection="1">
      <alignment horizontal="right"/>
      <protection locked="0"/>
    </xf>
    <xf numFmtId="166" fontId="5" fillId="12" borderId="15" xfId="8" applyNumberFormat="1" applyFont="1" applyFill="1" applyBorder="1" applyAlignment="1">
      <alignment horizontal="right" vertical="center"/>
    </xf>
    <xf numFmtId="166" fontId="5" fillId="12" borderId="0" xfId="8" applyNumberFormat="1" applyFont="1" applyFill="1" applyBorder="1" applyAlignment="1">
      <alignment horizontal="right" vertical="center"/>
    </xf>
    <xf numFmtId="0" fontId="5" fillId="5" borderId="14" xfId="6" applyFont="1" applyBorder="1" applyAlignment="1" applyProtection="1">
      <alignment horizontal="left"/>
      <protection locked="0"/>
    </xf>
    <xf numFmtId="0" fontId="5" fillId="0" borderId="3" xfId="9" applyFont="1" applyBorder="1" applyAlignment="1">
      <alignment horizontal="left" vertical="center"/>
    </xf>
    <xf numFmtId="0" fontId="5" fillId="0" borderId="7" xfId="9" applyFont="1" applyBorder="1" applyAlignment="1">
      <alignment horizontal="left" vertical="center"/>
    </xf>
    <xf numFmtId="0" fontId="5" fillId="0" borderId="2" xfId="9" applyFont="1" applyBorder="1" applyAlignment="1">
      <alignment horizontal="left" vertical="center"/>
    </xf>
    <xf numFmtId="0" fontId="5" fillId="0" borderId="4" xfId="9" applyFont="1" applyBorder="1" applyAlignment="1">
      <alignment horizontal="left" vertical="center"/>
    </xf>
    <xf numFmtId="0" fontId="5" fillId="0" borderId="5" xfId="9" applyFont="1" applyBorder="1" applyAlignment="1">
      <alignment horizontal="left" vertical="center"/>
    </xf>
    <xf numFmtId="0" fontId="5" fillId="0" borderId="0" xfId="9" applyFont="1" applyBorder="1" applyAlignment="1">
      <alignment horizontal="left" vertical="center"/>
    </xf>
    <xf numFmtId="167" fontId="5" fillId="0" borderId="0" xfId="13" applyNumberFormat="1" applyFont="1" applyBorder="1" applyAlignment="1">
      <alignment horizontal="left" vertical="center"/>
    </xf>
    <xf numFmtId="167" fontId="5" fillId="0" borderId="15" xfId="13" applyNumberFormat="1" applyFont="1" applyBorder="1" applyAlignment="1">
      <alignment horizontal="left" vertical="center"/>
    </xf>
    <xf numFmtId="0" fontId="13" fillId="0" borderId="0" xfId="12" applyFont="1" applyAlignment="1">
      <alignment horizontal="left" vertical="center"/>
    </xf>
    <xf numFmtId="0" fontId="18" fillId="0" borderId="6" xfId="12" applyFont="1" applyBorder="1" applyAlignment="1">
      <alignment horizontal="left" vertical="center" wrapText="1"/>
    </xf>
    <xf numFmtId="0" fontId="18" fillId="0" borderId="0" xfId="12" applyFont="1" applyAlignment="1">
      <alignment horizontal="left" vertical="center" wrapText="1"/>
    </xf>
    <xf numFmtId="165" fontId="13" fillId="0" borderId="0" xfId="14" applyNumberFormat="1" applyFont="1" applyAlignment="1">
      <alignment horizontal="left" vertical="center"/>
    </xf>
    <xf numFmtId="0" fontId="11" fillId="10" borderId="7" xfId="0" quotePrefix="1" applyFont="1" applyFill="1" applyBorder="1" applyAlignment="1" applyProtection="1">
      <alignment horizontal="left"/>
      <protection locked="0"/>
    </xf>
    <xf numFmtId="0" fontId="11" fillId="10" borderId="3" xfId="0" quotePrefix="1" applyFont="1" applyFill="1" applyBorder="1" applyAlignment="1" applyProtection="1">
      <alignment horizontal="left"/>
      <protection locked="0"/>
    </xf>
    <xf numFmtId="0" fontId="12" fillId="15" borderId="14" xfId="9" applyFont="1" applyFill="1" applyBorder="1" applyAlignment="1">
      <alignment horizontal="left" vertical="center"/>
    </xf>
    <xf numFmtId="0" fontId="5" fillId="15" borderId="14" xfId="9" applyFont="1" applyFill="1" applyBorder="1" applyAlignment="1">
      <alignment horizontal="center" vertical="center" wrapText="1"/>
    </xf>
    <xf numFmtId="0" fontId="12" fillId="12" borderId="2" xfId="9" applyFont="1" applyFill="1" applyBorder="1" applyAlignment="1">
      <alignment horizontal="right" vertical="center"/>
    </xf>
    <xf numFmtId="166" fontId="5" fillId="12" borderId="3" xfId="8" applyNumberFormat="1" applyFont="1" applyFill="1" applyBorder="1" applyAlignment="1">
      <alignment horizontal="right" vertical="center"/>
    </xf>
    <xf numFmtId="9" fontId="5" fillId="12" borderId="2" xfId="13" applyFont="1" applyFill="1" applyBorder="1" applyAlignment="1">
      <alignment horizontal="right" vertical="center"/>
    </xf>
    <xf numFmtId="166" fontId="5" fillId="12" borderId="2" xfId="8" applyNumberFormat="1" applyFont="1" applyFill="1" applyBorder="1" applyAlignment="1">
      <alignment horizontal="right" vertical="center"/>
    </xf>
    <xf numFmtId="0" fontId="12" fillId="12" borderId="0" xfId="9" applyFont="1" applyFill="1" applyBorder="1" applyAlignment="1">
      <alignment horizontal="right" vertical="center"/>
    </xf>
    <xf numFmtId="9" fontId="5" fillId="12" borderId="0" xfId="13" applyFont="1" applyFill="1" applyBorder="1" applyAlignment="1">
      <alignment horizontal="right" vertical="center"/>
    </xf>
    <xf numFmtId="9" fontId="5" fillId="12" borderId="13" xfId="14" applyFont="1" applyFill="1" applyBorder="1" applyAlignment="1">
      <alignment horizontal="right" vertical="center"/>
    </xf>
    <xf numFmtId="9" fontId="5" fillId="12" borderId="12" xfId="14" applyFont="1" applyFill="1" applyBorder="1" applyAlignment="1">
      <alignment horizontal="right" vertical="center"/>
    </xf>
    <xf numFmtId="0" fontId="5" fillId="15" borderId="6" xfId="9" applyFont="1" applyFill="1" applyBorder="1" applyAlignment="1">
      <alignment horizontal="center" vertical="center" wrapText="1"/>
    </xf>
    <xf numFmtId="0" fontId="0" fillId="15" borderId="14" xfId="0" applyFont="1" applyFill="1" applyBorder="1" applyAlignment="1">
      <alignment horizontal="center" vertical="center" wrapText="1"/>
    </xf>
    <xf numFmtId="0" fontId="5" fillId="15" borderId="14" xfId="9" applyFont="1" applyFill="1" applyBorder="1" applyAlignment="1">
      <alignment horizontal="center" vertical="center"/>
    </xf>
    <xf numFmtId="167" fontId="5" fillId="0" borderId="4" xfId="13" applyNumberFormat="1" applyFont="1" applyBorder="1" applyAlignment="1">
      <alignment horizontal="left" vertical="center"/>
    </xf>
    <xf numFmtId="167" fontId="5" fillId="0" borderId="5" xfId="13" applyNumberFormat="1" applyFont="1" applyBorder="1" applyAlignment="1">
      <alignment horizontal="left" vertical="center"/>
    </xf>
    <xf numFmtId="0" fontId="13" fillId="15" borderId="13" xfId="12" applyFont="1" applyFill="1" applyBorder="1" applyAlignment="1">
      <alignment horizontal="center" vertical="center"/>
    </xf>
    <xf numFmtId="0" fontId="13" fillId="15" borderId="14" xfId="12" applyFont="1" applyFill="1" applyBorder="1" applyAlignment="1">
      <alignment horizontal="center" vertical="center"/>
    </xf>
    <xf numFmtId="0" fontId="5" fillId="15" borderId="14" xfId="16" applyFont="1" applyFill="1" applyBorder="1" applyAlignment="1">
      <alignment horizontal="center" vertical="center"/>
    </xf>
    <xf numFmtId="0" fontId="13" fillId="15" borderId="11" xfId="12" applyFont="1" applyFill="1" applyBorder="1" applyAlignment="1">
      <alignment horizontal="center" vertical="center"/>
    </xf>
    <xf numFmtId="165" fontId="15" fillId="15" borderId="13" xfId="14" applyNumberFormat="1" applyFont="1" applyFill="1" applyBorder="1" applyAlignment="1">
      <alignment horizontal="center" vertical="center"/>
    </xf>
    <xf numFmtId="165" fontId="15" fillId="15" borderId="12" xfId="14" applyNumberFormat="1" applyFont="1" applyFill="1" applyBorder="1" applyAlignment="1">
      <alignment horizontal="center" vertical="center"/>
    </xf>
    <xf numFmtId="165" fontId="15" fillId="15" borderId="14" xfId="14" applyNumberFormat="1" applyFont="1" applyFill="1" applyBorder="1" applyAlignment="1">
      <alignment horizontal="center" vertical="center"/>
    </xf>
    <xf numFmtId="0" fontId="5" fillId="15" borderId="12" xfId="16" applyFont="1" applyFill="1" applyBorder="1" applyAlignment="1">
      <alignment horizontal="center" vertical="center"/>
    </xf>
    <xf numFmtId="165" fontId="15" fillId="15" borderId="1" xfId="14" applyNumberFormat="1" applyFont="1" applyFill="1" applyBorder="1" applyAlignment="1">
      <alignment horizontal="center" vertical="center"/>
    </xf>
    <xf numFmtId="0" fontId="13" fillId="15" borderId="1" xfId="12" applyFont="1" applyFill="1" applyBorder="1" applyAlignment="1">
      <alignment horizontal="center" vertical="center"/>
    </xf>
    <xf numFmtId="165" fontId="13" fillId="15" borderId="7" xfId="16" applyNumberFormat="1" applyFont="1" applyFill="1" applyBorder="1" applyAlignment="1">
      <alignment horizontal="left" vertical="center"/>
    </xf>
    <xf numFmtId="165" fontId="13" fillId="15" borderId="9" xfId="16" applyNumberFormat="1" applyFont="1" applyFill="1" applyBorder="1" applyAlignment="1">
      <alignment horizontal="left" vertical="center"/>
    </xf>
    <xf numFmtId="0" fontId="5" fillId="15" borderId="13" xfId="16" applyFont="1" applyFill="1" applyBorder="1" applyAlignment="1">
      <alignment horizontal="center" vertical="center"/>
    </xf>
    <xf numFmtId="168" fontId="13" fillId="12" borderId="1" xfId="8" applyNumberFormat="1" applyFont="1" applyFill="1" applyBorder="1" applyAlignment="1">
      <alignment horizontal="right" vertical="center"/>
    </xf>
    <xf numFmtId="0" fontId="13" fillId="2" borderId="12" xfId="3" applyFont="1" applyBorder="1" applyAlignment="1" applyProtection="1">
      <alignment horizontal="left"/>
      <protection locked="0"/>
    </xf>
    <xf numFmtId="166" fontId="13" fillId="16" borderId="1" xfId="8" applyNumberFormat="1" applyFont="1" applyFill="1" applyBorder="1" applyAlignment="1" applyProtection="1">
      <alignment horizontal="left" vertical="center"/>
      <protection locked="0"/>
    </xf>
    <xf numFmtId="166" fontId="13" fillId="16" borderId="13" xfId="8" applyNumberFormat="1" applyFont="1" applyFill="1" applyBorder="1" applyAlignment="1" applyProtection="1">
      <alignment horizontal="left" vertical="center"/>
      <protection locked="0"/>
    </xf>
    <xf numFmtId="0" fontId="11" fillId="10" borderId="10" xfId="0" applyFont="1" applyFill="1" applyBorder="1" applyAlignment="1" applyProtection="1">
      <alignment horizontal="left"/>
      <protection locked="0"/>
    </xf>
    <xf numFmtId="0" fontId="10" fillId="5" borderId="13" xfId="6" applyFont="1" applyBorder="1" applyAlignment="1" applyProtection="1">
      <alignment horizontal="left" vertical="center"/>
      <protection locked="0"/>
    </xf>
    <xf numFmtId="0" fontId="0" fillId="0" borderId="0" xfId="0" applyFont="1" applyAlignment="1" applyProtection="1">
      <alignment horizontal="left"/>
      <protection locked="0"/>
    </xf>
    <xf numFmtId="0" fontId="0" fillId="0" borderId="0" xfId="0" applyFont="1" applyBorder="1" applyAlignment="1" applyProtection="1">
      <alignment horizontal="left"/>
      <protection locked="0"/>
    </xf>
    <xf numFmtId="0" fontId="5" fillId="5" borderId="12" xfId="6" applyFont="1" applyBorder="1" applyAlignment="1" applyProtection="1">
      <alignment horizontal="left" vertical="center"/>
      <protection locked="0"/>
    </xf>
    <xf numFmtId="0" fontId="5" fillId="5" borderId="0" xfId="6" applyFont="1" applyBorder="1" applyAlignment="1" applyProtection="1">
      <alignment horizontal="left"/>
      <protection locked="0"/>
    </xf>
    <xf numFmtId="0" fontId="5" fillId="5" borderId="14" xfId="6" applyFont="1" applyBorder="1" applyAlignment="1" applyProtection="1">
      <alignment horizontal="left" vertical="center"/>
      <protection locked="0"/>
    </xf>
    <xf numFmtId="0" fontId="9" fillId="8" borderId="12" xfId="17" applyFont="1" applyBorder="1" applyAlignment="1" applyProtection="1">
      <alignment horizontal="left"/>
      <protection locked="0"/>
    </xf>
    <xf numFmtId="0" fontId="9" fillId="8" borderId="6" xfId="17" applyFont="1" applyBorder="1" applyAlignment="1" applyProtection="1">
      <alignment horizontal="left"/>
      <protection locked="0"/>
    </xf>
    <xf numFmtId="0" fontId="9" fillId="8" borderId="15" xfId="17" applyFont="1" applyBorder="1" applyAlignment="1" applyProtection="1">
      <alignment horizontal="left"/>
      <protection locked="0"/>
    </xf>
    <xf numFmtId="0" fontId="9" fillId="8" borderId="0" xfId="17" applyFont="1" applyBorder="1" applyAlignment="1" applyProtection="1">
      <alignment horizontal="left"/>
      <protection locked="0"/>
    </xf>
    <xf numFmtId="0" fontId="5" fillId="5" borderId="7" xfId="6" applyFont="1" applyBorder="1" applyAlignment="1" applyProtection="1">
      <alignment horizontal="left"/>
      <protection locked="0"/>
    </xf>
    <xf numFmtId="0" fontId="5" fillId="5" borderId="6" xfId="6" applyFont="1" applyBorder="1" applyAlignment="1" applyProtection="1">
      <alignment horizontal="left"/>
      <protection locked="0"/>
    </xf>
    <xf numFmtId="0" fontId="10" fillId="5" borderId="12" xfId="6" applyFont="1" applyBorder="1" applyAlignment="1" applyProtection="1">
      <alignment horizontal="left" vertical="center"/>
      <protection locked="0"/>
    </xf>
    <xf numFmtId="0" fontId="12" fillId="5" borderId="12" xfId="6" applyFont="1" applyBorder="1" applyAlignment="1" applyProtection="1">
      <alignment horizontal="left" vertical="center"/>
      <protection locked="0"/>
    </xf>
    <xf numFmtId="0" fontId="12" fillId="5" borderId="12" xfId="6" applyFont="1" applyBorder="1" applyAlignment="1" applyProtection="1">
      <alignment horizontal="left"/>
      <protection locked="0"/>
    </xf>
    <xf numFmtId="0" fontId="13" fillId="2" borderId="6" xfId="3" applyFont="1" applyBorder="1" applyAlignment="1" applyProtection="1">
      <alignment horizontal="right"/>
      <protection locked="0"/>
    </xf>
    <xf numFmtId="0" fontId="0" fillId="15" borderId="1" xfId="0" applyFont="1" applyFill="1" applyBorder="1" applyAlignment="1">
      <alignment horizontal="left"/>
    </xf>
    <xf numFmtId="0" fontId="0" fillId="15" borderId="12" xfId="0" applyFont="1" applyFill="1" applyBorder="1" applyAlignment="1">
      <alignment horizontal="left"/>
    </xf>
    <xf numFmtId="0" fontId="0" fillId="15" borderId="14" xfId="0" applyFont="1" applyFill="1" applyBorder="1" applyAlignment="1">
      <alignment horizontal="left"/>
    </xf>
    <xf numFmtId="0" fontId="0" fillId="15" borderId="10" xfId="0" applyFont="1" applyFill="1" applyBorder="1" applyAlignment="1">
      <alignment horizontal="center"/>
    </xf>
    <xf numFmtId="0" fontId="0" fillId="15" borderId="11" xfId="0" applyFont="1" applyFill="1" applyBorder="1" applyAlignment="1">
      <alignment horizontal="center"/>
    </xf>
    <xf numFmtId="0" fontId="11" fillId="10" borderId="9" xfId="0" applyFont="1" applyFill="1" applyBorder="1" applyAlignment="1" applyProtection="1">
      <alignment horizontal="left"/>
      <protection locked="0"/>
    </xf>
    <xf numFmtId="0" fontId="13" fillId="2" borderId="12" xfId="3" applyFont="1" applyBorder="1" applyAlignment="1" applyProtection="1">
      <alignment horizontal="right"/>
      <protection locked="0"/>
    </xf>
    <xf numFmtId="0" fontId="5" fillId="5" borderId="12" xfId="6" applyFont="1" applyBorder="1" applyAlignment="1" applyProtection="1">
      <alignment horizontal="center" vertical="center"/>
      <protection locked="0"/>
    </xf>
    <xf numFmtId="0" fontId="5" fillId="5" borderId="7" xfId="6" applyFont="1" applyBorder="1" applyAlignment="1" applyProtection="1">
      <alignment horizontal="center"/>
      <protection locked="0"/>
    </xf>
    <xf numFmtId="0" fontId="5" fillId="5" borderId="2" xfId="6" applyFont="1" applyBorder="1" applyAlignment="1" applyProtection="1">
      <alignment horizontal="center"/>
      <protection locked="0"/>
    </xf>
    <xf numFmtId="0" fontId="5" fillId="5" borderId="3" xfId="6" applyFont="1" applyBorder="1" applyAlignment="1" applyProtection="1">
      <alignment horizontal="center"/>
      <protection locked="0"/>
    </xf>
    <xf numFmtId="0" fontId="12" fillId="5" borderId="6" xfId="6" applyFont="1" applyBorder="1" applyAlignment="1" applyProtection="1">
      <alignment horizontal="center"/>
      <protection locked="0"/>
    </xf>
    <xf numFmtId="0" fontId="12" fillId="5" borderId="15" xfId="6" applyFont="1" applyBorder="1" applyAlignment="1" applyProtection="1">
      <alignment horizontal="center"/>
      <protection locked="0"/>
    </xf>
    <xf numFmtId="0" fontId="5" fillId="5" borderId="6" xfId="6" applyFont="1" applyBorder="1" applyAlignment="1" applyProtection="1">
      <alignment horizontal="center"/>
      <protection locked="0"/>
    </xf>
    <xf numFmtId="0" fontId="5" fillId="5" borderId="0" xfId="6" applyFont="1" applyBorder="1" applyAlignment="1" applyProtection="1">
      <alignment horizontal="center"/>
      <protection locked="0"/>
    </xf>
    <xf numFmtId="0" fontId="5" fillId="5" borderId="15" xfId="6" applyFont="1" applyBorder="1" applyAlignment="1" applyProtection="1">
      <alignment horizontal="center"/>
      <protection locked="0"/>
    </xf>
    <xf numFmtId="0" fontId="5" fillId="5" borderId="8" xfId="6" applyFont="1" applyBorder="1" applyAlignment="1" applyProtection="1">
      <alignment horizontal="center"/>
      <protection locked="0"/>
    </xf>
    <xf numFmtId="0" fontId="5" fillId="5" borderId="4" xfId="6" applyFont="1" applyBorder="1" applyAlignment="1" applyProtection="1">
      <alignment horizontal="center"/>
      <protection locked="0"/>
    </xf>
    <xf numFmtId="3" fontId="5" fillId="4" borderId="6" xfId="5" applyFont="1" applyBorder="1" applyAlignment="1" applyProtection="1">
      <alignment horizontal="right" vertical="center"/>
      <protection locked="0"/>
    </xf>
    <xf numFmtId="3" fontId="5" fillId="4" borderId="15" xfId="5" applyFont="1" applyBorder="1" applyAlignment="1" applyProtection="1">
      <alignment horizontal="right" vertical="center"/>
      <protection locked="0"/>
    </xf>
    <xf numFmtId="3" fontId="5" fillId="4" borderId="0" xfId="5" applyFont="1" applyBorder="1" applyAlignment="1" applyProtection="1">
      <alignment horizontal="right" vertical="center"/>
      <protection locked="0"/>
    </xf>
    <xf numFmtId="0" fontId="9" fillId="8" borderId="15" xfId="17" applyFont="1" applyBorder="1" applyAlignment="1" applyProtection="1">
      <alignment horizontal="right"/>
      <protection locked="0"/>
    </xf>
    <xf numFmtId="0" fontId="12" fillId="5" borderId="0" xfId="6" applyFont="1" applyBorder="1" applyAlignment="1" applyProtection="1">
      <alignment horizontal="center"/>
      <protection locked="0"/>
    </xf>
    <xf numFmtId="0" fontId="12" fillId="5" borderId="8" xfId="6" applyFont="1" applyBorder="1" applyAlignment="1" applyProtection="1">
      <alignment horizontal="center"/>
      <protection locked="0"/>
    </xf>
    <xf numFmtId="0" fontId="12" fillId="5" borderId="4" xfId="6" applyFont="1" applyBorder="1" applyAlignment="1" applyProtection="1">
      <alignment horizontal="center"/>
      <protection locked="0"/>
    </xf>
    <xf numFmtId="0" fontId="12" fillId="5" borderId="5" xfId="6" applyFont="1" applyBorder="1" applyAlignment="1" applyProtection="1">
      <alignment horizontal="center"/>
      <protection locked="0"/>
    </xf>
    <xf numFmtId="0" fontId="12" fillId="5" borderId="14" xfId="6" applyFont="1" applyBorder="1" applyAlignment="1" applyProtection="1">
      <alignment horizontal="left" vertical="center"/>
      <protection locked="0"/>
    </xf>
    <xf numFmtId="0" fontId="0" fillId="0" borderId="0" xfId="0" applyFont="1" applyFill="1" applyBorder="1" applyAlignment="1">
      <alignment horizontal="left"/>
    </xf>
    <xf numFmtId="0" fontId="0" fillId="0" borderId="0" xfId="0" applyFont="1" applyFill="1" applyBorder="1" applyAlignment="1">
      <alignment horizontal="center"/>
    </xf>
    <xf numFmtId="0" fontId="0" fillId="0" borderId="0" xfId="0" applyFont="1" applyFill="1" applyBorder="1" applyAlignment="1" applyProtection="1">
      <alignment horizontal="left"/>
      <protection locked="0"/>
    </xf>
    <xf numFmtId="0" fontId="10" fillId="5" borderId="0" xfId="6" applyFont="1" applyAlignment="1" applyProtection="1">
      <alignment horizontal="center"/>
      <protection locked="0"/>
    </xf>
    <xf numFmtId="0" fontId="5" fillId="5" borderId="0" xfId="6" applyFont="1" applyAlignment="1" applyProtection="1">
      <alignment horizontal="center"/>
      <protection locked="0"/>
    </xf>
    <xf numFmtId="1" fontId="5" fillId="4" borderId="0" xfId="5" applyNumberFormat="1" applyFont="1" applyBorder="1" applyAlignment="1" applyProtection="1">
      <alignment horizontal="right" vertical="center"/>
      <protection locked="0"/>
    </xf>
    <xf numFmtId="0" fontId="13" fillId="2" borderId="0" xfId="3" applyFont="1" applyAlignment="1" applyProtection="1">
      <alignment horizontal="right"/>
      <protection locked="0"/>
    </xf>
    <xf numFmtId="3" fontId="5" fillId="4" borderId="0" xfId="5" applyFont="1" applyAlignment="1" applyProtection="1">
      <alignment horizontal="right" vertical="center"/>
      <protection locked="0"/>
    </xf>
    <xf numFmtId="0" fontId="11" fillId="9" borderId="9" xfId="0" applyFont="1" applyFill="1" applyBorder="1" applyAlignment="1" applyProtection="1">
      <alignment horizontal="left"/>
      <protection locked="0"/>
    </xf>
    <xf numFmtId="0" fontId="11" fillId="9" borderId="10" xfId="0" applyFont="1" applyFill="1" applyBorder="1" applyAlignment="1" applyProtection="1">
      <alignment horizontal="left"/>
      <protection locked="0"/>
    </xf>
    <xf numFmtId="0" fontId="11" fillId="9" borderId="11" xfId="0" applyFont="1" applyFill="1" applyBorder="1" applyAlignment="1" applyProtection="1">
      <alignment horizontal="left"/>
      <protection locked="0"/>
    </xf>
    <xf numFmtId="0" fontId="13" fillId="6" borderId="0" xfId="0" applyFont="1" applyFill="1" applyAlignment="1">
      <alignment horizontal="left"/>
    </xf>
    <xf numFmtId="0" fontId="6" fillId="0" borderId="0" xfId="1" quotePrefix="1" applyFont="1" applyFill="1" applyBorder="1" applyAlignment="1" applyProtection="1">
      <alignment vertical="center" wrapText="1"/>
      <protection locked="0"/>
    </xf>
    <xf numFmtId="0" fontId="0" fillId="5" borderId="8" xfId="6" applyFont="1" applyBorder="1" applyAlignment="1" applyProtection="1">
      <alignment horizontal="left"/>
      <protection locked="0"/>
    </xf>
    <xf numFmtId="0" fontId="0" fillId="0" borderId="0" xfId="0" applyFont="1" applyFill="1" applyBorder="1" applyProtection="1">
      <protection locked="0"/>
    </xf>
    <xf numFmtId="3" fontId="0" fillId="0" borderId="0" xfId="5" applyFont="1" applyFill="1" applyBorder="1" applyAlignment="1" applyProtection="1">
      <alignment horizontal="right"/>
      <protection locked="0"/>
    </xf>
    <xf numFmtId="0" fontId="0" fillId="0" borderId="0" xfId="0" applyFont="1" applyFill="1" applyAlignment="1">
      <alignment horizontal="left"/>
    </xf>
    <xf numFmtId="165" fontId="13" fillId="12" borderId="0" xfId="14" applyNumberFormat="1" applyFont="1" applyFill="1" applyBorder="1" applyAlignment="1">
      <alignment horizontal="right" vertical="center"/>
    </xf>
    <xf numFmtId="165" fontId="13" fillId="12" borderId="15" xfId="14" applyNumberFormat="1" applyFont="1" applyFill="1" applyBorder="1" applyAlignment="1">
      <alignment horizontal="right" vertical="center"/>
    </xf>
    <xf numFmtId="0" fontId="11" fillId="9" borderId="1" xfId="0" applyFont="1" applyFill="1" applyBorder="1" applyAlignment="1">
      <alignment horizontal="center" vertical="center"/>
    </xf>
    <xf numFmtId="0" fontId="11" fillId="9" borderId="1" xfId="0" applyFont="1" applyFill="1" applyBorder="1" applyAlignment="1">
      <alignment horizontal="center" vertical="center" wrapText="1"/>
    </xf>
    <xf numFmtId="0" fontId="11" fillId="9" borderId="13" xfId="0" applyFont="1" applyFill="1" applyBorder="1" applyAlignment="1">
      <alignment horizontal="center" vertical="center"/>
    </xf>
    <xf numFmtId="0" fontId="13" fillId="0" borderId="0" xfId="0" applyFont="1" applyAlignment="1">
      <alignment horizontal="left"/>
    </xf>
    <xf numFmtId="0" fontId="0" fillId="0" borderId="0" xfId="0" applyAlignment="1">
      <alignment horizontal="left"/>
    </xf>
    <xf numFmtId="0" fontId="0" fillId="11" borderId="0" xfId="0" applyFont="1" applyFill="1" applyAlignment="1">
      <alignment horizontal="left"/>
    </xf>
    <xf numFmtId="0" fontId="19" fillId="0" borderId="0" xfId="0" applyFont="1" applyBorder="1" applyAlignment="1">
      <alignment horizontal="left"/>
    </xf>
    <xf numFmtId="0" fontId="20" fillId="0" borderId="0" xfId="0" applyFont="1" applyAlignment="1">
      <alignment horizontal="left"/>
    </xf>
    <xf numFmtId="0" fontId="0" fillId="0" borderId="0" xfId="0" applyFont="1" applyAlignment="1">
      <alignment horizontal="left" vertical="top"/>
    </xf>
    <xf numFmtId="3" fontId="0" fillId="4" borderId="13" xfId="5" applyFont="1" applyBorder="1" applyAlignment="1" applyProtection="1">
      <alignment horizontal="right" vertical="center"/>
      <protection locked="0"/>
    </xf>
    <xf numFmtId="3" fontId="0" fillId="4" borderId="12" xfId="5" applyFont="1" applyBorder="1" applyAlignment="1" applyProtection="1">
      <alignment horizontal="right" vertical="center"/>
      <protection locked="0"/>
    </xf>
    <xf numFmtId="3" fontId="0" fillId="4" borderId="14" xfId="5" applyFont="1" applyBorder="1" applyAlignment="1" applyProtection="1">
      <alignment horizontal="right" vertical="center"/>
      <protection locked="0"/>
    </xf>
    <xf numFmtId="3" fontId="5" fillId="3" borderId="1" xfId="4" applyNumberFormat="1" applyFont="1" applyBorder="1" applyAlignment="1">
      <alignment horizontal="right" vertical="center"/>
    </xf>
    <xf numFmtId="0" fontId="0" fillId="5" borderId="13" xfId="6" applyFont="1" applyBorder="1" applyAlignment="1" applyProtection="1">
      <alignment horizontal="left"/>
      <protection locked="0"/>
    </xf>
    <xf numFmtId="0" fontId="0" fillId="5" borderId="12" xfId="6" applyFont="1" applyBorder="1" applyAlignment="1" applyProtection="1">
      <alignment horizontal="left"/>
      <protection locked="0"/>
    </xf>
    <xf numFmtId="0" fontId="0" fillId="5" borderId="14" xfId="6" applyFont="1" applyBorder="1" applyAlignment="1" applyProtection="1">
      <alignment horizontal="left"/>
      <protection locked="0"/>
    </xf>
    <xf numFmtId="0" fontId="0" fillId="5" borderId="1" xfId="6" applyFont="1" applyBorder="1" applyAlignment="1" applyProtection="1">
      <alignment horizontal="left"/>
      <protection locked="0"/>
    </xf>
    <xf numFmtId="0" fontId="11" fillId="10" borderId="9" xfId="0" quotePrefix="1" applyFont="1" applyFill="1" applyBorder="1" applyAlignment="1" applyProtection="1">
      <protection locked="0"/>
    </xf>
    <xf numFmtId="0" fontId="11" fillId="10" borderId="11" xfId="0" quotePrefix="1" applyFont="1" applyFill="1" applyBorder="1" applyAlignment="1" applyProtection="1">
      <protection locked="0"/>
    </xf>
    <xf numFmtId="170" fontId="0" fillId="17" borderId="1" xfId="0" applyNumberFormat="1" applyFont="1" applyFill="1" applyBorder="1" applyAlignment="1">
      <alignment horizontal="right"/>
    </xf>
    <xf numFmtId="0" fontId="11" fillId="10" borderId="10" xfId="0" quotePrefix="1" applyFont="1" applyFill="1" applyBorder="1" applyAlignment="1" applyProtection="1">
      <protection locked="0"/>
    </xf>
    <xf numFmtId="0" fontId="0" fillId="17" borderId="0" xfId="0" applyFont="1" applyFill="1" applyBorder="1" applyAlignment="1">
      <alignment horizontal="right"/>
    </xf>
    <xf numFmtId="0" fontId="0" fillId="17" borderId="15" xfId="0" applyFont="1" applyFill="1" applyBorder="1" applyAlignment="1">
      <alignment horizontal="right"/>
    </xf>
    <xf numFmtId="0" fontId="0" fillId="17" borderId="4" xfId="0" applyFont="1" applyFill="1" applyBorder="1" applyAlignment="1">
      <alignment horizontal="right"/>
    </xf>
    <xf numFmtId="0" fontId="0" fillId="17" borderId="5" xfId="0" applyFont="1" applyFill="1" applyBorder="1" applyAlignment="1">
      <alignment horizontal="right"/>
    </xf>
    <xf numFmtId="170" fontId="0" fillId="17" borderId="14" xfId="0" applyNumberFormat="1" applyFont="1" applyFill="1" applyBorder="1" applyAlignment="1">
      <alignment horizontal="right"/>
    </xf>
    <xf numFmtId="3" fontId="0" fillId="4" borderId="1" xfId="5" applyFont="1" applyBorder="1" applyAlignment="1" applyProtection="1">
      <alignment horizontal="right" vertical="center"/>
      <protection locked="0"/>
    </xf>
    <xf numFmtId="0" fontId="0" fillId="5" borderId="12" xfId="6" applyFont="1" applyBorder="1" applyAlignment="1" applyProtection="1">
      <alignment horizontal="left" vertical="center"/>
      <protection locked="0"/>
    </xf>
    <xf numFmtId="0" fontId="0" fillId="5" borderId="14" xfId="6" applyFont="1" applyBorder="1" applyAlignment="1" applyProtection="1">
      <alignment horizontal="center"/>
      <protection locked="0"/>
    </xf>
    <xf numFmtId="0" fontId="13" fillId="2" borderId="9" xfId="3" applyFont="1" applyBorder="1" applyAlignment="1" applyProtection="1">
      <alignment horizontal="right"/>
      <protection locked="0"/>
    </xf>
    <xf numFmtId="0" fontId="13" fillId="2" borderId="1" xfId="3" applyFont="1" applyBorder="1" applyAlignment="1" applyProtection="1">
      <alignment horizontal="right"/>
      <protection locked="0"/>
    </xf>
    <xf numFmtId="0" fontId="13" fillId="2" borderId="10" xfId="3" applyFont="1" applyBorder="1" applyAlignment="1" applyProtection="1">
      <alignment horizontal="right"/>
      <protection locked="0"/>
    </xf>
    <xf numFmtId="0" fontId="0" fillId="0" borderId="0" xfId="0" applyFont="1"/>
    <xf numFmtId="0" fontId="13" fillId="5" borderId="1" xfId="0" applyFont="1" applyFill="1" applyBorder="1" applyAlignment="1" applyProtection="1">
      <alignment horizontal="center" vertical="center" wrapText="1"/>
    </xf>
    <xf numFmtId="0" fontId="13" fillId="19" borderId="1" xfId="0" quotePrefix="1" applyFont="1" applyFill="1" applyBorder="1" applyAlignment="1">
      <alignment horizontal="center" wrapText="1"/>
    </xf>
    <xf numFmtId="170" fontId="13" fillId="19" borderId="1" xfId="0" applyNumberFormat="1" applyFont="1" applyFill="1" applyBorder="1" applyAlignment="1">
      <alignment horizontal="center" wrapText="1"/>
    </xf>
    <xf numFmtId="9" fontId="13" fillId="0" borderId="1" xfId="0" applyNumberFormat="1" applyFont="1" applyFill="1" applyBorder="1" applyAlignment="1">
      <alignment horizontal="center"/>
    </xf>
    <xf numFmtId="0" fontId="13" fillId="12" borderId="12" xfId="0" applyFont="1" applyFill="1" applyBorder="1"/>
    <xf numFmtId="170" fontId="13" fillId="3" borderId="12" xfId="13" applyNumberFormat="1" applyFont="1" applyFill="1" applyBorder="1" applyAlignment="1" applyProtection="1">
      <alignment horizontal="right"/>
    </xf>
    <xf numFmtId="9" fontId="13" fillId="3" borderId="12" xfId="13" applyFont="1" applyFill="1" applyBorder="1" applyAlignment="1" applyProtection="1">
      <alignment horizontal="right"/>
    </xf>
    <xf numFmtId="9" fontId="13" fillId="3" borderId="12" xfId="13" applyNumberFormat="1" applyFont="1" applyFill="1" applyBorder="1" applyAlignment="1" applyProtection="1">
      <alignment horizontal="right"/>
    </xf>
    <xf numFmtId="172" fontId="13" fillId="3" borderId="12" xfId="19" applyNumberFormat="1" applyFont="1" applyBorder="1" applyProtection="1">
      <alignment horizontal="right"/>
    </xf>
    <xf numFmtId="0" fontId="1" fillId="0" borderId="0" xfId="0" applyFont="1"/>
    <xf numFmtId="0" fontId="13" fillId="0" borderId="0" xfId="0" applyFont="1"/>
    <xf numFmtId="0" fontId="13" fillId="12" borderId="13" xfId="0" applyFont="1" applyFill="1" applyBorder="1"/>
    <xf numFmtId="170" fontId="13" fillId="3" borderId="13" xfId="13" applyNumberFormat="1" applyFont="1" applyFill="1" applyBorder="1" applyAlignment="1" applyProtection="1">
      <alignment horizontal="right"/>
    </xf>
    <xf numFmtId="9" fontId="13" fillId="3" borderId="13" xfId="13" applyFont="1" applyFill="1" applyBorder="1" applyAlignment="1" applyProtection="1">
      <alignment horizontal="right"/>
    </xf>
    <xf numFmtId="0" fontId="13" fillId="12" borderId="14" xfId="0" applyFont="1" applyFill="1" applyBorder="1"/>
    <xf numFmtId="170" fontId="13" fillId="3" borderId="14" xfId="13" applyNumberFormat="1" applyFont="1" applyFill="1" applyBorder="1" applyAlignment="1" applyProtection="1">
      <alignment horizontal="right"/>
    </xf>
    <xf numFmtId="9" fontId="13" fillId="3" borderId="14" xfId="13" applyFont="1" applyFill="1" applyBorder="1" applyAlignment="1" applyProtection="1">
      <alignment horizontal="right"/>
    </xf>
    <xf numFmtId="9" fontId="13" fillId="3" borderId="13" xfId="13" applyNumberFormat="1" applyFont="1" applyFill="1" applyBorder="1" applyAlignment="1" applyProtection="1">
      <alignment horizontal="right"/>
    </xf>
    <xf numFmtId="9" fontId="13" fillId="3" borderId="14" xfId="13" applyNumberFormat="1" applyFont="1" applyFill="1" applyBorder="1" applyAlignment="1" applyProtection="1">
      <alignment horizontal="right"/>
    </xf>
    <xf numFmtId="172" fontId="13" fillId="3" borderId="13" xfId="19" applyNumberFormat="1" applyFont="1" applyBorder="1" applyProtection="1">
      <alignment horizontal="right"/>
    </xf>
    <xf numFmtId="172" fontId="13" fillId="3" borderId="14" xfId="19" applyNumberFormat="1" applyFont="1" applyBorder="1" applyProtection="1">
      <alignment horizontal="right"/>
    </xf>
    <xf numFmtId="0" fontId="13" fillId="5" borderId="14" xfId="0" applyFont="1" applyFill="1" applyBorder="1" applyAlignment="1" applyProtection="1">
      <alignment horizontal="left" vertical="center" wrapText="1"/>
    </xf>
    <xf numFmtId="3" fontId="13" fillId="18" borderId="14" xfId="18" applyNumberFormat="1" applyFont="1" applyBorder="1" applyAlignment="1">
      <alignment horizontal="right"/>
      <protection locked="0"/>
    </xf>
    <xf numFmtId="0" fontId="13" fillId="5" borderId="1" xfId="0" applyFont="1" applyFill="1" applyBorder="1" applyAlignment="1" applyProtection="1">
      <alignment horizontal="center" wrapText="1"/>
    </xf>
    <xf numFmtId="0" fontId="13" fillId="19" borderId="1" xfId="0" applyNumberFormat="1" applyFont="1" applyFill="1" applyBorder="1" applyAlignment="1">
      <alignment horizontal="center" wrapText="1"/>
    </xf>
    <xf numFmtId="0" fontId="13" fillId="5" borderId="1" xfId="0" applyFont="1" applyFill="1" applyBorder="1" applyAlignment="1" applyProtection="1">
      <alignment wrapText="1"/>
    </xf>
    <xf numFmtId="9" fontId="13" fillId="19" borderId="1" xfId="0" applyNumberFormat="1" applyFont="1" applyFill="1" applyBorder="1" applyAlignment="1">
      <alignment horizontal="center" wrapText="1"/>
    </xf>
    <xf numFmtId="0" fontId="13" fillId="0" borderId="0" xfId="3" applyFont="1" applyFill="1" applyBorder="1" applyAlignment="1" applyProtection="1">
      <alignment horizontal="left"/>
      <protection locked="0"/>
    </xf>
    <xf numFmtId="0" fontId="13" fillId="5" borderId="13" xfId="0" applyFont="1" applyFill="1" applyBorder="1" applyAlignment="1" applyProtection="1">
      <alignment wrapText="1"/>
    </xf>
    <xf numFmtId="9" fontId="0" fillId="0" borderId="13" xfId="0" applyNumberFormat="1" applyFont="1" applyBorder="1" applyAlignment="1">
      <alignment horizontal="center"/>
    </xf>
    <xf numFmtId="0" fontId="13" fillId="5" borderId="1" xfId="0" applyFont="1" applyFill="1" applyBorder="1" applyAlignment="1">
      <alignment vertical="center" wrapText="1"/>
    </xf>
    <xf numFmtId="0" fontId="13" fillId="5" borderId="1" xfId="0" applyFont="1" applyFill="1" applyBorder="1" applyAlignment="1">
      <alignment horizontal="center" vertical="center"/>
    </xf>
    <xf numFmtId="0" fontId="13" fillId="5" borderId="11" xfId="0" applyFont="1" applyFill="1" applyBorder="1" applyAlignment="1">
      <alignment horizontal="center" vertical="center" wrapText="1"/>
    </xf>
    <xf numFmtId="0" fontId="14" fillId="5" borderId="1" xfId="0" applyFont="1" applyFill="1" applyBorder="1" applyAlignment="1">
      <alignment horizontal="centerContinuous" vertical="center"/>
    </xf>
    <xf numFmtId="0" fontId="14" fillId="0" borderId="0" xfId="0" applyFont="1"/>
    <xf numFmtId="1" fontId="13" fillId="3" borderId="15" xfId="0" applyNumberFormat="1" applyFont="1" applyFill="1" applyBorder="1"/>
    <xf numFmtId="1" fontId="13" fillId="3" borderId="3" xfId="0" applyNumberFormat="1" applyFont="1" applyFill="1" applyBorder="1"/>
    <xf numFmtId="1" fontId="13" fillId="3" borderId="5" xfId="0" applyNumberFormat="1" applyFont="1" applyFill="1" applyBorder="1"/>
    <xf numFmtId="0" fontId="13" fillId="0" borderId="0" xfId="0" applyFont="1" applyFill="1"/>
    <xf numFmtId="10" fontId="13" fillId="0" borderId="0" xfId="0" applyNumberFormat="1" applyFont="1" applyFill="1" applyBorder="1"/>
    <xf numFmtId="0" fontId="13" fillId="0" borderId="0" xfId="0" applyNumberFormat="1" applyFont="1" applyFill="1" applyBorder="1"/>
    <xf numFmtId="0" fontId="14" fillId="0" borderId="7"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7" fillId="0" borderId="2" xfId="0" applyNumberFormat="1" applyFont="1" applyFill="1" applyBorder="1" applyAlignment="1">
      <alignment horizontal="right" vertical="center" wrapText="1"/>
    </xf>
    <xf numFmtId="0" fontId="13" fillId="0" borderId="2" xfId="0" applyNumberFormat="1" applyFont="1" applyFill="1" applyBorder="1" applyAlignment="1">
      <alignment horizontal="right"/>
    </xf>
    <xf numFmtId="0" fontId="13" fillId="0" borderId="3" xfId="0" applyNumberFormat="1" applyFont="1" applyFill="1" applyBorder="1" applyAlignment="1">
      <alignment horizontal="right"/>
    </xf>
    <xf numFmtId="0" fontId="14" fillId="0" borderId="8"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7" fillId="0" borderId="4" xfId="0" applyNumberFormat="1" applyFont="1" applyFill="1" applyBorder="1" applyAlignment="1">
      <alignment horizontal="right" vertical="center" wrapText="1"/>
    </xf>
    <xf numFmtId="0" fontId="13" fillId="0" borderId="4" xfId="0" applyNumberFormat="1" applyFont="1" applyFill="1" applyBorder="1" applyAlignment="1">
      <alignment horizontal="right"/>
    </xf>
    <xf numFmtId="0" fontId="13" fillId="0" borderId="5" xfId="0" applyNumberFormat="1" applyFont="1" applyFill="1" applyBorder="1" applyAlignment="1">
      <alignment horizontal="right"/>
    </xf>
    <xf numFmtId="171" fontId="13" fillId="3" borderId="13" xfId="0" applyNumberFormat="1" applyFont="1" applyFill="1" applyBorder="1"/>
    <xf numFmtId="171" fontId="13" fillId="3" borderId="12" xfId="0" applyNumberFormat="1" applyFont="1" applyFill="1" applyBorder="1"/>
    <xf numFmtId="171" fontId="13" fillId="3" borderId="14" xfId="0" applyNumberFormat="1" applyFont="1" applyFill="1" applyBorder="1"/>
    <xf numFmtId="0" fontId="6" fillId="0" borderId="0" xfId="1" quotePrefix="1" applyFont="1" applyFill="1" applyBorder="1" applyAlignment="1" applyProtection="1">
      <alignment horizontal="right" vertical="center" wrapText="1"/>
      <protection locked="0"/>
    </xf>
    <xf numFmtId="165" fontId="13" fillId="0" borderId="0" xfId="0" applyNumberFormat="1" applyFont="1" applyAlignment="1">
      <alignment horizontal="left"/>
    </xf>
    <xf numFmtId="170" fontId="5" fillId="20" borderId="12" xfId="5" applyNumberFormat="1" applyFont="1" applyFill="1" applyBorder="1" applyAlignment="1" applyProtection="1">
      <alignment horizontal="right" vertical="center"/>
      <protection locked="0"/>
    </xf>
    <xf numFmtId="0" fontId="0" fillId="5" borderId="6" xfId="6" applyFont="1" applyBorder="1" applyAlignment="1" applyProtection="1">
      <alignment horizontal="left"/>
      <protection locked="0"/>
    </xf>
    <xf numFmtId="0" fontId="13" fillId="15" borderId="13" xfId="12" applyFont="1" applyFill="1" applyBorder="1" applyAlignment="1">
      <alignment horizontal="center" vertical="center"/>
    </xf>
    <xf numFmtId="0" fontId="0" fillId="0" borderId="0" xfId="0" applyFont="1" applyAlignment="1">
      <alignment horizontal="right"/>
    </xf>
    <xf numFmtId="0" fontId="6" fillId="8" borderId="12" xfId="1" quotePrefix="1" applyFont="1" applyFill="1" applyBorder="1" applyAlignment="1">
      <alignment horizontal="left"/>
    </xf>
    <xf numFmtId="0" fontId="16" fillId="14" borderId="12" xfId="1" quotePrefix="1" applyFont="1" applyFill="1" applyBorder="1" applyAlignment="1">
      <alignment horizontal="left"/>
    </xf>
    <xf numFmtId="0" fontId="6" fillId="13" borderId="12" xfId="1" quotePrefix="1" applyFont="1" applyFill="1" applyBorder="1" applyAlignment="1">
      <alignment horizontal="left"/>
    </xf>
    <xf numFmtId="0" fontId="6" fillId="13" borderId="12" xfId="1" quotePrefix="1" applyFill="1" applyBorder="1" applyAlignment="1">
      <alignment horizontal="left"/>
    </xf>
    <xf numFmtId="0" fontId="6" fillId="12" borderId="12" xfId="1" quotePrefix="1" applyFont="1" applyFill="1" applyBorder="1" applyAlignment="1">
      <alignment horizontal="left"/>
    </xf>
    <xf numFmtId="0" fontId="6" fillId="12" borderId="14" xfId="1" quotePrefix="1" applyFont="1" applyFill="1" applyBorder="1" applyAlignment="1">
      <alignment horizontal="left"/>
    </xf>
    <xf numFmtId="0" fontId="5" fillId="5" borderId="6" xfId="6" quotePrefix="1" applyFont="1" applyBorder="1" applyAlignment="1">
      <alignment horizontal="left"/>
    </xf>
    <xf numFmtId="0" fontId="5" fillId="5" borderId="8" xfId="6" quotePrefix="1" applyFont="1" applyBorder="1" applyAlignment="1">
      <alignment horizontal="left"/>
    </xf>
    <xf numFmtId="0" fontId="5" fillId="5" borderId="12" xfId="6" quotePrefix="1" applyFont="1" applyBorder="1" applyAlignment="1">
      <alignment horizontal="left"/>
    </xf>
    <xf numFmtId="0" fontId="12" fillId="5" borderId="6" xfId="6" quotePrefix="1" applyFont="1" applyBorder="1" applyAlignment="1">
      <alignment horizontal="left"/>
    </xf>
    <xf numFmtId="0" fontId="13" fillId="5" borderId="8" xfId="6" applyFont="1" applyBorder="1" applyAlignment="1" applyProtection="1">
      <alignment horizontal="left"/>
      <protection locked="0"/>
    </xf>
    <xf numFmtId="0" fontId="13" fillId="5" borderId="13" xfId="6" applyFont="1" applyBorder="1" applyAlignment="1">
      <alignment horizontal="left" vertical="center" wrapText="1"/>
    </xf>
    <xf numFmtId="0" fontId="13" fillId="5" borderId="12" xfId="6" applyFont="1" applyBorder="1" applyAlignment="1">
      <alignment horizontal="left" vertical="center" wrapText="1"/>
    </xf>
    <xf numFmtId="0" fontId="0" fillId="15" borderId="6" xfId="0" applyFont="1" applyFill="1" applyBorder="1" applyAlignment="1" applyProtection="1">
      <alignment horizontal="left"/>
      <protection locked="0"/>
    </xf>
    <xf numFmtId="0" fontId="13" fillId="17" borderId="0" xfId="0" applyFont="1" applyFill="1" applyBorder="1" applyAlignment="1">
      <alignment horizontal="right"/>
    </xf>
    <xf numFmtId="0" fontId="13" fillId="17" borderId="15" xfId="0" applyFont="1" applyFill="1" applyBorder="1" applyAlignment="1">
      <alignment horizontal="right"/>
    </xf>
    <xf numFmtId="0" fontId="13" fillId="17" borderId="4" xfId="0" applyFont="1" applyFill="1" applyBorder="1" applyAlignment="1">
      <alignment horizontal="right"/>
    </xf>
    <xf numFmtId="0" fontId="13" fillId="17" borderId="5" xfId="0" applyFont="1" applyFill="1" applyBorder="1" applyAlignment="1">
      <alignment horizontal="right"/>
    </xf>
    <xf numFmtId="0" fontId="13" fillId="0" borderId="0" xfId="12" applyFont="1" applyFill="1" applyAlignment="1">
      <alignment horizontal="left" vertical="center"/>
    </xf>
    <xf numFmtId="0" fontId="18" fillId="15" borderId="14" xfId="12" applyFont="1" applyFill="1" applyBorder="1" applyAlignment="1">
      <alignment horizontal="center" vertical="center"/>
    </xf>
    <xf numFmtId="170" fontId="13" fillId="12" borderId="1" xfId="13" applyNumberFormat="1" applyFont="1" applyFill="1" applyBorder="1" applyAlignment="1">
      <alignment horizontal="right" vertical="center"/>
    </xf>
    <xf numFmtId="0" fontId="5" fillId="0" borderId="13" xfId="9" applyFont="1" applyFill="1" applyBorder="1" applyAlignment="1">
      <alignment horizontal="left" vertical="center"/>
    </xf>
    <xf numFmtId="0" fontId="5" fillId="0" borderId="3" xfId="9" applyFont="1" applyFill="1" applyBorder="1" applyAlignment="1">
      <alignment horizontal="left" vertical="center"/>
    </xf>
    <xf numFmtId="0" fontId="5" fillId="0" borderId="1" xfId="9" applyFont="1" applyFill="1" applyBorder="1" applyAlignment="1">
      <alignment horizontal="left" vertical="center"/>
    </xf>
    <xf numFmtId="9" fontId="5" fillId="0" borderId="11" xfId="14" applyNumberFormat="1" applyFont="1" applyFill="1" applyBorder="1" applyAlignment="1">
      <alignment horizontal="left" vertical="center"/>
    </xf>
    <xf numFmtId="0" fontId="5" fillId="0" borderId="14" xfId="9" applyFont="1" applyFill="1" applyBorder="1" applyAlignment="1">
      <alignment horizontal="left" vertical="center"/>
    </xf>
    <xf numFmtId="9" fontId="5" fillId="0" borderId="11" xfId="9" applyNumberFormat="1" applyFont="1" applyFill="1" applyBorder="1" applyAlignment="1">
      <alignment horizontal="left" vertical="center"/>
    </xf>
    <xf numFmtId="9" fontId="5" fillId="0" borderId="5" xfId="9" applyNumberFormat="1" applyFont="1" applyFill="1" applyBorder="1" applyAlignment="1">
      <alignment horizontal="left" vertical="center"/>
    </xf>
    <xf numFmtId="0" fontId="5" fillId="0" borderId="9" xfId="9" applyFont="1" applyFill="1" applyBorder="1" applyAlignment="1">
      <alignment horizontal="left" vertical="center"/>
    </xf>
    <xf numFmtId="0" fontId="5" fillId="0" borderId="10" xfId="9" applyFont="1" applyFill="1" applyBorder="1" applyAlignment="1">
      <alignment horizontal="left" vertical="center"/>
    </xf>
    <xf numFmtId="0" fontId="5" fillId="0" borderId="11" xfId="9" applyFont="1" applyFill="1" applyBorder="1" applyAlignment="1">
      <alignment horizontal="left" vertical="center"/>
    </xf>
    <xf numFmtId="0" fontId="5" fillId="0" borderId="6" xfId="9" applyFont="1" applyFill="1" applyBorder="1" applyAlignment="1">
      <alignment horizontal="left" vertical="center"/>
    </xf>
    <xf numFmtId="9" fontId="5" fillId="0" borderId="0" xfId="9" applyNumberFormat="1" applyFont="1" applyFill="1" applyBorder="1" applyAlignment="1">
      <alignment horizontal="left" vertical="center"/>
    </xf>
    <xf numFmtId="9" fontId="5" fillId="0" borderId="15" xfId="9" applyNumberFormat="1" applyFont="1" applyFill="1" applyBorder="1" applyAlignment="1">
      <alignment horizontal="left" vertical="center"/>
    </xf>
    <xf numFmtId="0" fontId="5" fillId="0" borderId="8" xfId="9" applyFont="1" applyFill="1" applyBorder="1" applyAlignment="1">
      <alignment horizontal="left" vertical="center"/>
    </xf>
    <xf numFmtId="9" fontId="5" fillId="0" borderId="4" xfId="9" applyNumberFormat="1" applyFont="1" applyFill="1" applyBorder="1" applyAlignment="1">
      <alignment horizontal="left" vertical="center"/>
    </xf>
    <xf numFmtId="0" fontId="17" fillId="0" borderId="7" xfId="0" applyFont="1" applyFill="1" applyBorder="1" applyAlignment="1">
      <alignment horizontal="left"/>
    </xf>
    <xf numFmtId="9" fontId="0" fillId="0" borderId="12" xfId="0" applyNumberFormat="1" applyFont="1" applyFill="1" applyBorder="1" applyAlignment="1">
      <alignment horizontal="left"/>
    </xf>
    <xf numFmtId="0" fontId="0" fillId="0" borderId="12" xfId="0" applyFont="1" applyFill="1" applyBorder="1" applyAlignment="1">
      <alignment horizontal="left"/>
    </xf>
    <xf numFmtId="9" fontId="0" fillId="0" borderId="14" xfId="0" applyNumberFormat="1" applyFont="1" applyFill="1" applyBorder="1" applyAlignment="1">
      <alignment horizontal="left"/>
    </xf>
    <xf numFmtId="0" fontId="0" fillId="0" borderId="14" xfId="0" applyFont="1" applyFill="1" applyBorder="1" applyAlignment="1">
      <alignment horizontal="left"/>
    </xf>
    <xf numFmtId="0" fontId="0" fillId="0" borderId="1" xfId="9" applyFont="1" applyFill="1" applyBorder="1" applyAlignment="1">
      <alignment horizontal="left" vertical="center"/>
    </xf>
    <xf numFmtId="165" fontId="5" fillId="0" borderId="15" xfId="14" applyNumberFormat="1" applyFont="1" applyFill="1" applyBorder="1" applyAlignment="1">
      <alignment horizontal="left" vertical="center"/>
    </xf>
    <xf numFmtId="165" fontId="5" fillId="0" borderId="13" xfId="14" applyNumberFormat="1" applyFont="1" applyFill="1" applyBorder="1" applyAlignment="1">
      <alignment horizontal="left" vertical="center"/>
    </xf>
    <xf numFmtId="165" fontId="5" fillId="0" borderId="14" xfId="14" applyNumberFormat="1" applyFont="1" applyFill="1" applyBorder="1" applyAlignment="1">
      <alignment horizontal="left" vertical="center"/>
    </xf>
    <xf numFmtId="165" fontId="5" fillId="0" borderId="5" xfId="14" applyNumberFormat="1" applyFont="1" applyFill="1" applyBorder="1" applyAlignment="1">
      <alignment horizontal="left" vertical="center"/>
    </xf>
    <xf numFmtId="0" fontId="0" fillId="0" borderId="0" xfId="0" applyFill="1"/>
    <xf numFmtId="0" fontId="5" fillId="0" borderId="0" xfId="6" applyFont="1" applyFill="1" applyBorder="1" applyAlignment="1" applyProtection="1">
      <alignment horizontal="left"/>
      <protection locked="0"/>
    </xf>
    <xf numFmtId="0" fontId="0" fillId="15" borderId="13" xfId="0" applyFont="1" applyFill="1" applyBorder="1" applyAlignment="1">
      <alignment horizontal="left"/>
    </xf>
    <xf numFmtId="3" fontId="0" fillId="4" borderId="4" xfId="5" applyFont="1" applyBorder="1" applyAlignment="1" applyProtection="1">
      <alignment horizontal="right" vertical="center"/>
      <protection locked="0"/>
    </xf>
    <xf numFmtId="0" fontId="13" fillId="5" borderId="12" xfId="0" applyFont="1" applyFill="1" applyBorder="1" applyAlignment="1">
      <alignment horizontal="left"/>
    </xf>
    <xf numFmtId="0" fontId="13" fillId="5" borderId="14" xfId="0" applyFont="1" applyFill="1" applyBorder="1" applyAlignment="1">
      <alignment horizontal="left"/>
    </xf>
    <xf numFmtId="0" fontId="13" fillId="5" borderId="13" xfId="0" applyFont="1" applyFill="1" applyBorder="1" applyAlignment="1">
      <alignment horizontal="left"/>
    </xf>
    <xf numFmtId="0" fontId="13" fillId="0" borderId="0" xfId="0" applyFont="1" applyFill="1" applyAlignment="1">
      <alignment wrapText="1"/>
    </xf>
    <xf numFmtId="0" fontId="14" fillId="0" borderId="0" xfId="0" applyFont="1" applyFill="1"/>
    <xf numFmtId="0" fontId="0" fillId="0" borderId="1" xfId="0" applyFont="1" applyFill="1" applyBorder="1" applyAlignment="1">
      <alignment horizontal="left"/>
    </xf>
    <xf numFmtId="10" fontId="13" fillId="0" borderId="0" xfId="0" applyNumberFormat="1" applyFont="1" applyFill="1" applyBorder="1" applyAlignment="1">
      <alignment horizontal="center"/>
    </xf>
    <xf numFmtId="0" fontId="13" fillId="0" borderId="0" xfId="0" applyNumberFormat="1" applyFont="1" applyFill="1" applyBorder="1" applyAlignment="1">
      <alignment horizontal="center"/>
    </xf>
    <xf numFmtId="0" fontId="0" fillId="0" borderId="1" xfId="0" applyFont="1" applyFill="1" applyBorder="1" applyAlignment="1">
      <alignment horizontal="right"/>
    </xf>
    <xf numFmtId="0" fontId="13" fillId="0" borderId="1" xfId="0" applyFont="1" applyFill="1" applyBorder="1" applyAlignment="1">
      <alignment horizontal="right" wrapText="1"/>
    </xf>
    <xf numFmtId="0" fontId="13" fillId="0" borderId="9" xfId="0" applyFont="1" applyFill="1" applyBorder="1" applyAlignment="1">
      <alignment horizontal="right" wrapText="1"/>
    </xf>
    <xf numFmtId="0" fontId="13" fillId="0" borderId="1" xfId="0" applyFont="1" applyFill="1" applyBorder="1" applyAlignment="1">
      <alignment horizontal="right"/>
    </xf>
    <xf numFmtId="10" fontId="13" fillId="0" borderId="1" xfId="0" applyNumberFormat="1" applyFont="1" applyFill="1" applyBorder="1" applyAlignment="1">
      <alignment horizontal="right"/>
    </xf>
    <xf numFmtId="10" fontId="13" fillId="0" borderId="9" xfId="0" applyNumberFormat="1" applyFont="1" applyFill="1" applyBorder="1" applyAlignment="1">
      <alignment horizontal="right"/>
    </xf>
    <xf numFmtId="0" fontId="13" fillId="0" borderId="1" xfId="0" applyFont="1" applyFill="1" applyBorder="1" applyAlignment="1">
      <alignment horizontal="right" textRotation="135" wrapText="1"/>
    </xf>
    <xf numFmtId="0" fontId="14" fillId="0" borderId="7" xfId="0" applyFont="1" applyFill="1" applyBorder="1" applyAlignment="1">
      <alignment horizontal="right"/>
    </xf>
    <xf numFmtId="0" fontId="14" fillId="0" borderId="8" xfId="0" applyFont="1" applyFill="1" applyBorder="1" applyAlignment="1">
      <alignment horizontal="right"/>
    </xf>
    <xf numFmtId="0" fontId="13" fillId="0" borderId="0" xfId="0" applyFont="1" applyFill="1" applyAlignment="1">
      <alignment horizontal="left"/>
    </xf>
    <xf numFmtId="0" fontId="14" fillId="0" borderId="0" xfId="0" applyFont="1" applyFill="1" applyAlignment="1">
      <alignment horizontal="left"/>
    </xf>
    <xf numFmtId="0" fontId="13" fillId="0" borderId="7" xfId="0" applyFont="1" applyFill="1" applyBorder="1" applyAlignment="1">
      <alignment horizontal="left"/>
    </xf>
    <xf numFmtId="0" fontId="13" fillId="0" borderId="3" xfId="0" applyNumberFormat="1" applyFont="1" applyFill="1" applyBorder="1" applyAlignment="1">
      <alignment horizontal="left"/>
    </xf>
    <xf numFmtId="0" fontId="13" fillId="0" borderId="13" xfId="0" applyFont="1" applyFill="1" applyBorder="1" applyAlignment="1">
      <alignment horizontal="left"/>
    </xf>
    <xf numFmtId="0" fontId="13" fillId="0" borderId="0" xfId="0" applyFont="1" applyFill="1" applyAlignment="1">
      <alignment horizontal="left" wrapText="1"/>
    </xf>
    <xf numFmtId="0" fontId="13" fillId="0" borderId="6" xfId="0" applyFont="1" applyFill="1" applyBorder="1" applyAlignment="1">
      <alignment horizontal="left"/>
    </xf>
    <xf numFmtId="0" fontId="13" fillId="0" borderId="15" xfId="0" applyNumberFormat="1" applyFont="1" applyFill="1" applyBorder="1" applyAlignment="1">
      <alignment horizontal="left"/>
    </xf>
    <xf numFmtId="0" fontId="13" fillId="0" borderId="12" xfId="0" applyFont="1" applyFill="1" applyBorder="1" applyAlignment="1">
      <alignment horizontal="left"/>
    </xf>
    <xf numFmtId="0" fontId="13" fillId="0" borderId="14" xfId="0" applyFont="1" applyFill="1" applyBorder="1" applyAlignment="1">
      <alignment horizontal="left"/>
    </xf>
    <xf numFmtId="0" fontId="18" fillId="0" borderId="1" xfId="0" applyFont="1" applyFill="1" applyBorder="1" applyAlignment="1">
      <alignment horizontal="left"/>
    </xf>
    <xf numFmtId="0" fontId="13" fillId="0" borderId="0" xfId="0" applyFont="1" applyFill="1" applyBorder="1" applyAlignment="1">
      <alignment horizontal="left"/>
    </xf>
    <xf numFmtId="0" fontId="13" fillId="0" borderId="8" xfId="0" applyFont="1" applyFill="1" applyBorder="1" applyAlignment="1">
      <alignment horizontal="left"/>
    </xf>
    <xf numFmtId="0" fontId="13" fillId="0" borderId="5" xfId="0" applyNumberFormat="1" applyFont="1" applyFill="1" applyBorder="1" applyAlignment="1">
      <alignment horizontal="left"/>
    </xf>
    <xf numFmtId="0" fontId="13" fillId="0" borderId="2" xfId="0" applyFont="1" applyFill="1" applyBorder="1" applyAlignment="1">
      <alignment horizontal="left"/>
    </xf>
    <xf numFmtId="0" fontId="13" fillId="0" borderId="3" xfId="0" applyFont="1" applyFill="1" applyBorder="1" applyAlignment="1">
      <alignment horizontal="left"/>
    </xf>
    <xf numFmtId="0" fontId="13" fillId="0" borderId="15" xfId="0" applyFont="1" applyFill="1" applyBorder="1" applyAlignment="1">
      <alignment horizontal="left"/>
    </xf>
    <xf numFmtId="0" fontId="13" fillId="0" borderId="4" xfId="0" applyFont="1" applyFill="1" applyBorder="1" applyAlignment="1">
      <alignment horizontal="left"/>
    </xf>
    <xf numFmtId="0" fontId="13" fillId="0" borderId="5" xfId="0" applyFont="1" applyFill="1" applyBorder="1" applyAlignment="1">
      <alignment horizontal="left"/>
    </xf>
    <xf numFmtId="10" fontId="13" fillId="0" borderId="0" xfId="0" applyNumberFormat="1" applyFont="1" applyFill="1" applyBorder="1" applyAlignment="1">
      <alignment horizontal="left"/>
    </xf>
    <xf numFmtId="0" fontId="14" fillId="0" borderId="0" xfId="0" applyNumberFormat="1" applyFont="1" applyFill="1" applyAlignment="1">
      <alignment horizontal="left"/>
    </xf>
    <xf numFmtId="0" fontId="17" fillId="0" borderId="0" xfId="0" applyNumberFormat="1" applyFont="1" applyFill="1" applyBorder="1" applyAlignment="1">
      <alignment horizontal="left" vertical="center" wrapText="1"/>
    </xf>
    <xf numFmtId="0" fontId="13" fillId="0" borderId="0" xfId="0" applyNumberFormat="1" applyFont="1" applyFill="1" applyBorder="1" applyAlignment="1">
      <alignment horizontal="left"/>
    </xf>
    <xf numFmtId="0" fontId="14" fillId="0" borderId="0" xfId="0" applyFont="1" applyAlignment="1">
      <alignment horizontal="left"/>
    </xf>
    <xf numFmtId="0" fontId="13" fillId="0" borderId="0" xfId="0" applyFont="1" applyFill="1" applyBorder="1" applyAlignment="1">
      <alignment horizontal="left" vertical="center"/>
    </xf>
    <xf numFmtId="170" fontId="17" fillId="0" borderId="0" xfId="0" applyNumberFormat="1" applyFont="1" applyFill="1" applyBorder="1" applyAlignment="1">
      <alignment horizontal="left" vertical="center" wrapText="1"/>
    </xf>
    <xf numFmtId="170" fontId="13" fillId="0" borderId="0" xfId="0" applyNumberFormat="1" applyFont="1" applyFill="1" applyBorder="1" applyAlignment="1">
      <alignment horizontal="left" vertical="center"/>
    </xf>
    <xf numFmtId="170" fontId="13" fillId="0" borderId="1" xfId="0" applyNumberFormat="1" applyFont="1" applyFill="1" applyBorder="1" applyAlignment="1">
      <alignment horizontal="center"/>
    </xf>
    <xf numFmtId="3" fontId="0" fillId="4" borderId="15" xfId="21" applyFont="1" applyBorder="1" applyAlignment="1">
      <alignment horizontal="right"/>
      <protection locked="0"/>
    </xf>
    <xf numFmtId="0" fontId="0" fillId="0" borderId="0" xfId="0" applyFont="1" applyAlignment="1">
      <alignment horizontal="right" vertical="top"/>
    </xf>
    <xf numFmtId="3" fontId="0" fillId="4" borderId="5" xfId="21" applyFont="1" applyBorder="1" applyAlignment="1">
      <alignment horizontal="right"/>
      <protection locked="0"/>
    </xf>
    <xf numFmtId="0" fontId="0" fillId="0" borderId="0" xfId="0" applyFont="1" applyFill="1" applyBorder="1"/>
    <xf numFmtId="173" fontId="13" fillId="0" borderId="12" xfId="0" applyNumberFormat="1" applyFont="1" applyBorder="1" applyAlignment="1">
      <alignment horizontal="right" vertical="center" wrapText="1"/>
    </xf>
    <xf numFmtId="173" fontId="13" fillId="0" borderId="14" xfId="0" applyNumberFormat="1" applyFont="1" applyBorder="1" applyAlignment="1">
      <alignment horizontal="right" vertical="center" wrapText="1"/>
    </xf>
    <xf numFmtId="173" fontId="13" fillId="0" borderId="13" xfId="0" applyNumberFormat="1" applyFont="1" applyBorder="1" applyAlignment="1">
      <alignment horizontal="right" vertical="center" wrapText="1"/>
    </xf>
    <xf numFmtId="3" fontId="0" fillId="4" borderId="3" xfId="21" applyFont="1" applyBorder="1" applyAlignment="1">
      <alignment horizontal="right"/>
      <protection locked="0"/>
    </xf>
    <xf numFmtId="173" fontId="13" fillId="0" borderId="1" xfId="0" applyNumberFormat="1" applyFont="1" applyBorder="1" applyAlignment="1">
      <alignment horizontal="right" vertical="center" wrapText="1"/>
    </xf>
    <xf numFmtId="3" fontId="0" fillId="4" borderId="13" xfId="21" applyFont="1" applyBorder="1" applyAlignment="1">
      <alignment horizontal="right"/>
      <protection locked="0"/>
    </xf>
    <xf numFmtId="3" fontId="0" fillId="4" borderId="12" xfId="21" applyFont="1" applyBorder="1" applyAlignment="1">
      <alignment horizontal="right"/>
      <protection locked="0"/>
    </xf>
    <xf numFmtId="3" fontId="0" fillId="4" borderId="14" xfId="21" applyFont="1" applyBorder="1" applyAlignment="1">
      <alignment horizontal="right"/>
      <protection locked="0"/>
    </xf>
    <xf numFmtId="3" fontId="0" fillId="0" borderId="0" xfId="20" applyFont="1" applyFill="1" applyBorder="1">
      <alignment horizontal="right" vertical="center"/>
    </xf>
    <xf numFmtId="0" fontId="10" fillId="5" borderId="1" xfId="6" applyFont="1" applyBorder="1" applyAlignment="1" applyProtection="1">
      <alignment horizontal="left" vertical="center"/>
      <protection locked="0"/>
    </xf>
    <xf numFmtId="0" fontId="24" fillId="0" borderId="0" xfId="0" applyFont="1" applyAlignment="1">
      <alignment horizontal="justify" vertical="center"/>
    </xf>
    <xf numFmtId="0" fontId="0" fillId="0" borderId="0" xfId="0" applyFont="1" applyFill="1" applyBorder="1" applyAlignment="1">
      <alignment horizontal="right"/>
    </xf>
    <xf numFmtId="0" fontId="0" fillId="0" borderId="0" xfId="0" quotePrefix="1" applyFont="1" applyFill="1" applyBorder="1" applyAlignment="1">
      <alignment horizontal="right"/>
    </xf>
    <xf numFmtId="173" fontId="13" fillId="0" borderId="8" xfId="0" applyNumberFormat="1" applyFont="1" applyBorder="1" applyAlignment="1">
      <alignment horizontal="right" vertical="center" wrapText="1"/>
    </xf>
    <xf numFmtId="0" fontId="10" fillId="5" borderId="7" xfId="6" applyFont="1" applyBorder="1" applyAlignment="1" applyProtection="1">
      <alignment horizontal="left" vertical="center"/>
      <protection locked="0"/>
    </xf>
    <xf numFmtId="173" fontId="13" fillId="0" borderId="7" xfId="0" applyNumberFormat="1" applyFont="1" applyBorder="1" applyAlignment="1">
      <alignment horizontal="right" vertical="center" wrapText="1"/>
    </xf>
    <xf numFmtId="173" fontId="13" fillId="0" borderId="6" xfId="0" applyNumberFormat="1" applyFont="1" applyBorder="1" applyAlignment="1">
      <alignment horizontal="right" vertical="center" wrapText="1"/>
    </xf>
    <xf numFmtId="0" fontId="10" fillId="5" borderId="9" xfId="6" applyFont="1" applyBorder="1" applyAlignment="1" applyProtection="1">
      <alignment horizontal="left" vertical="center"/>
      <protection locked="0"/>
    </xf>
    <xf numFmtId="3" fontId="0" fillId="4" borderId="1" xfId="21" applyFont="1" applyBorder="1" applyAlignment="1">
      <alignment horizontal="right"/>
      <protection locked="0"/>
    </xf>
    <xf numFmtId="0" fontId="0" fillId="15" borderId="6" xfId="0" applyFont="1" applyFill="1" applyBorder="1" applyAlignment="1" applyProtection="1">
      <alignment horizontal="left" indent="2"/>
      <protection locked="0"/>
    </xf>
    <xf numFmtId="0" fontId="13" fillId="5" borderId="13"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0" borderId="0" xfId="6" applyFont="1" applyFill="1" applyBorder="1" applyAlignment="1" applyProtection="1">
      <alignment horizontal="left"/>
      <protection locked="0"/>
    </xf>
    <xf numFmtId="3" fontId="13" fillId="0" borderId="0" xfId="4" applyFont="1" applyFill="1" applyBorder="1" applyAlignment="1" applyProtection="1">
      <alignment horizontal="right" vertical="center"/>
      <protection locked="0"/>
    </xf>
    <xf numFmtId="0" fontId="13" fillId="0" borderId="0" xfId="3" applyFont="1" applyFill="1" applyBorder="1" applyAlignment="1" applyProtection="1">
      <alignment horizontal="right"/>
      <protection locked="0"/>
    </xf>
    <xf numFmtId="0" fontId="13" fillId="5" borderId="1" xfId="0" applyFont="1" applyFill="1" applyBorder="1" applyAlignment="1">
      <alignment horizontal="right" vertical="center"/>
    </xf>
    <xf numFmtId="0" fontId="13" fillId="5" borderId="6" xfId="0" applyFont="1" applyFill="1" applyBorder="1" applyAlignment="1">
      <alignment horizontal="left"/>
    </xf>
    <xf numFmtId="0" fontId="13" fillId="5" borderId="8" xfId="0" applyFont="1" applyFill="1" applyBorder="1" applyAlignment="1">
      <alignment horizontal="left"/>
    </xf>
    <xf numFmtId="0" fontId="13" fillId="5" borderId="1" xfId="0" applyFont="1" applyFill="1" applyBorder="1" applyAlignment="1">
      <alignment horizontal="right"/>
    </xf>
    <xf numFmtId="0" fontId="0" fillId="5" borderId="9" xfId="6" applyFont="1" applyBorder="1" applyAlignment="1" applyProtection="1">
      <alignment horizontal="left"/>
      <protection locked="0"/>
    </xf>
    <xf numFmtId="0" fontId="0" fillId="5" borderId="1" xfId="6" applyFont="1" applyBorder="1" applyAlignment="1">
      <alignment horizontal="left"/>
    </xf>
    <xf numFmtId="0" fontId="0" fillId="5" borderId="9" xfId="6" applyFont="1" applyBorder="1" applyAlignment="1">
      <alignment horizontal="left"/>
    </xf>
    <xf numFmtId="170" fontId="5" fillId="20" borderId="14" xfId="5" applyNumberFormat="1" applyFont="1" applyFill="1" applyBorder="1" applyAlignment="1" applyProtection="1">
      <alignment horizontal="right" vertical="center"/>
      <protection locked="0"/>
    </xf>
    <xf numFmtId="0" fontId="0" fillId="5" borderId="9" xfId="6" applyFont="1" applyBorder="1" applyAlignment="1" applyProtection="1">
      <alignment horizontal="center"/>
      <protection locked="0"/>
    </xf>
    <xf numFmtId="0" fontId="11" fillId="9" borderId="2" xfId="0" applyFont="1" applyFill="1" applyBorder="1" applyAlignment="1" applyProtection="1">
      <alignment horizontal="left"/>
      <protection locked="0"/>
    </xf>
    <xf numFmtId="0" fontId="0" fillId="5" borderId="10" xfId="6" applyFont="1" applyBorder="1" applyAlignment="1" applyProtection="1">
      <alignment horizontal="center"/>
      <protection locked="0"/>
    </xf>
    <xf numFmtId="0" fontId="0" fillId="5" borderId="7" xfId="6" applyFont="1" applyBorder="1" applyAlignment="1" applyProtection="1">
      <alignment horizontal="left"/>
      <protection locked="0"/>
    </xf>
    <xf numFmtId="0" fontId="0" fillId="5" borderId="1" xfId="6" applyFont="1" applyBorder="1" applyAlignment="1" applyProtection="1">
      <alignment horizontal="center"/>
      <protection locked="0"/>
    </xf>
    <xf numFmtId="0" fontId="13" fillId="5" borderId="13" xfId="6" applyFont="1" applyBorder="1" applyAlignment="1" applyProtection="1">
      <alignment horizontal="left"/>
      <protection locked="0"/>
    </xf>
    <xf numFmtId="0" fontId="0" fillId="5" borderId="5" xfId="6" applyFont="1" applyBorder="1" applyAlignment="1" applyProtection="1">
      <alignment horizontal="center"/>
      <protection locked="0"/>
    </xf>
    <xf numFmtId="0" fontId="0" fillId="0" borderId="0" xfId="0" applyAlignment="1">
      <alignment vertical="center" wrapText="1"/>
    </xf>
    <xf numFmtId="0" fontId="0" fillId="0" borderId="0" xfId="0" quotePrefix="1" applyFont="1"/>
    <xf numFmtId="0" fontId="0" fillId="0" borderId="0" xfId="0" applyFont="1" applyAlignment="1">
      <alignment vertical="center"/>
    </xf>
    <xf numFmtId="0" fontId="0" fillId="0" borderId="0" xfId="0" applyFont="1" applyAlignment="1">
      <alignment vertical="center" wrapText="1"/>
    </xf>
    <xf numFmtId="0" fontId="0" fillId="17" borderId="1" xfId="0" applyFont="1" applyFill="1" applyBorder="1" applyAlignment="1">
      <alignment horizontal="left"/>
    </xf>
    <xf numFmtId="3" fontId="0" fillId="7" borderId="1" xfId="7" applyFont="1" applyBorder="1" applyAlignment="1">
      <alignment horizontal="left" vertical="center"/>
    </xf>
    <xf numFmtId="3" fontId="0" fillId="4" borderId="1" xfId="5" applyFont="1" applyBorder="1" applyAlignment="1" applyProtection="1">
      <alignment horizontal="left" vertical="center"/>
      <protection locked="0"/>
    </xf>
    <xf numFmtId="3" fontId="0" fillId="3" borderId="1" xfId="4" applyFont="1" applyBorder="1" applyAlignment="1" applyProtection="1">
      <alignment horizontal="left" vertical="center"/>
      <protection locked="0"/>
    </xf>
    <xf numFmtId="4" fontId="0" fillId="4" borderId="14" xfId="21" applyNumberFormat="1" applyFont="1" applyBorder="1" applyAlignment="1">
      <alignment horizontal="right"/>
      <protection locked="0"/>
    </xf>
    <xf numFmtId="0" fontId="13" fillId="0" borderId="0" xfId="0" applyFont="1" applyAlignment="1"/>
    <xf numFmtId="0" fontId="0" fillId="0" borderId="0" xfId="0" applyFont="1" applyAlignment="1"/>
    <xf numFmtId="0" fontId="13" fillId="5" borderId="1" xfId="0" applyFont="1" applyFill="1" applyBorder="1" applyAlignment="1">
      <alignment horizontal="center" vertical="center" wrapText="1"/>
    </xf>
    <xf numFmtId="170" fontId="13" fillId="2" borderId="0" xfId="3" applyNumberFormat="1" applyFont="1" applyBorder="1" applyAlignment="1" applyProtection="1">
      <alignment horizontal="left"/>
      <protection locked="0"/>
    </xf>
    <xf numFmtId="165" fontId="0" fillId="0" borderId="0" xfId="0" applyNumberFormat="1" applyAlignment="1">
      <alignment horizontal="left"/>
    </xf>
    <xf numFmtId="9" fontId="13" fillId="2" borderId="0" xfId="3" applyNumberFormat="1" applyFont="1" applyBorder="1" applyAlignment="1" applyProtection="1">
      <alignment horizontal="left"/>
      <protection locked="0"/>
    </xf>
    <xf numFmtId="0" fontId="0" fillId="5" borderId="1" xfId="6" quotePrefix="1" applyFont="1" applyBorder="1" applyAlignment="1">
      <alignment horizontal="left" vertical="center"/>
    </xf>
    <xf numFmtId="170" fontId="13" fillId="2" borderId="4" xfId="3" applyNumberFormat="1" applyFont="1" applyBorder="1" applyAlignment="1" applyProtection="1">
      <alignment horizontal="left"/>
      <protection locked="0"/>
    </xf>
    <xf numFmtId="0" fontId="15" fillId="5" borderId="9" xfId="6" applyFont="1" applyBorder="1" applyAlignment="1" applyProtection="1">
      <alignment horizontal="left"/>
      <protection locked="0"/>
    </xf>
    <xf numFmtId="0" fontId="0" fillId="15" borderId="1" xfId="9" applyFont="1" applyFill="1" applyBorder="1" applyAlignment="1">
      <alignment horizontal="center" vertical="center" wrapText="1"/>
    </xf>
    <xf numFmtId="9" fontId="13" fillId="0" borderId="12" xfId="0" applyNumberFormat="1" applyFont="1" applyFill="1" applyBorder="1" applyAlignment="1">
      <alignment horizontal="left"/>
    </xf>
    <xf numFmtId="0" fontId="0" fillId="0" borderId="12" xfId="9" applyFont="1" applyFill="1" applyBorder="1" applyAlignment="1">
      <alignment horizontal="left" vertical="center"/>
    </xf>
    <xf numFmtId="165" fontId="13" fillId="15" borderId="9" xfId="16" applyNumberFormat="1" applyFont="1" applyFill="1" applyBorder="1" applyAlignment="1">
      <alignment vertical="center"/>
    </xf>
    <xf numFmtId="165" fontId="13" fillId="15" borderId="10" xfId="16" applyNumberFormat="1" applyFont="1" applyFill="1" applyBorder="1" applyAlignment="1">
      <alignment vertical="center"/>
    </xf>
    <xf numFmtId="165" fontId="13" fillId="15" borderId="11" xfId="16" applyNumberFormat="1" applyFont="1" applyFill="1" applyBorder="1" applyAlignment="1">
      <alignment vertical="center"/>
    </xf>
    <xf numFmtId="170" fontId="13" fillId="3" borderId="13" xfId="0" applyNumberFormat="1" applyFont="1" applyFill="1" applyBorder="1"/>
    <xf numFmtId="170" fontId="13" fillId="3" borderId="12" xfId="0" applyNumberFormat="1" applyFont="1" applyFill="1" applyBorder="1"/>
    <xf numFmtId="170" fontId="13" fillId="3" borderId="14" xfId="0" applyNumberFormat="1" applyFont="1" applyFill="1" applyBorder="1"/>
    <xf numFmtId="1" fontId="13" fillId="0" borderId="0" xfId="0" applyNumberFormat="1" applyFont="1" applyFill="1" applyBorder="1" applyAlignment="1">
      <alignment horizontal="left"/>
    </xf>
    <xf numFmtId="3" fontId="0" fillId="4" borderId="6" xfId="5" applyFont="1" applyBorder="1" applyAlignment="1" applyProtection="1">
      <alignment horizontal="right" vertical="center"/>
      <protection locked="0"/>
    </xf>
    <xf numFmtId="3" fontId="0" fillId="4" borderId="8" xfId="5" applyFont="1" applyBorder="1" applyAlignment="1" applyProtection="1">
      <alignment horizontal="right" vertical="center"/>
      <protection locked="0"/>
    </xf>
    <xf numFmtId="3" fontId="0" fillId="4" borderId="7" xfId="5" applyFont="1" applyBorder="1" applyAlignment="1" applyProtection="1">
      <alignment horizontal="right" vertical="center"/>
      <protection locked="0"/>
    </xf>
    <xf numFmtId="3" fontId="0" fillId="4" borderId="0" xfId="5" applyFont="1" applyBorder="1" applyAlignment="1" applyProtection="1">
      <alignment horizontal="right" vertical="center"/>
      <protection locked="0"/>
    </xf>
    <xf numFmtId="3" fontId="0" fillId="4" borderId="2" xfId="5" applyFont="1" applyBorder="1" applyAlignment="1" applyProtection="1">
      <alignment horizontal="right" vertical="center"/>
      <protection locked="0"/>
    </xf>
    <xf numFmtId="3" fontId="0" fillId="4" borderId="15" xfId="5" applyFont="1" applyBorder="1" applyAlignment="1" applyProtection="1">
      <alignment horizontal="right" vertical="center"/>
      <protection locked="0"/>
    </xf>
    <xf numFmtId="3" fontId="0" fillId="4" borderId="5" xfId="5" applyFont="1" applyBorder="1" applyAlignment="1" applyProtection="1">
      <alignment horizontal="right" vertical="center"/>
      <protection locked="0"/>
    </xf>
    <xf numFmtId="3" fontId="0" fillId="4" borderId="3" xfId="5" applyFont="1" applyBorder="1" applyAlignment="1" applyProtection="1">
      <alignment horizontal="right" vertical="center"/>
      <protection locked="0"/>
    </xf>
    <xf numFmtId="3" fontId="0" fillId="4" borderId="8" xfId="5" applyNumberFormat="1" applyFont="1" applyBorder="1" applyAlignment="1" applyProtection="1">
      <alignment horizontal="right" vertical="center"/>
      <protection locked="0"/>
    </xf>
    <xf numFmtId="3" fontId="0" fillId="4" borderId="7" xfId="5" applyNumberFormat="1" applyFont="1" applyBorder="1" applyAlignment="1" applyProtection="1">
      <alignment horizontal="right" vertical="center"/>
      <protection locked="0"/>
    </xf>
    <xf numFmtId="3" fontId="0" fillId="4" borderId="6" xfId="5" applyNumberFormat="1" applyFont="1" applyBorder="1" applyAlignment="1" applyProtection="1">
      <alignment horizontal="right" vertical="center"/>
      <protection locked="0"/>
    </xf>
    <xf numFmtId="3" fontId="0" fillId="4" borderId="2" xfId="5" applyNumberFormat="1" applyFont="1" applyBorder="1" applyAlignment="1" applyProtection="1">
      <alignment horizontal="right" vertical="center"/>
      <protection locked="0"/>
    </xf>
    <xf numFmtId="3" fontId="0" fillId="4" borderId="15" xfId="5" applyNumberFormat="1" applyFont="1" applyBorder="1" applyAlignment="1" applyProtection="1">
      <alignment horizontal="right" vertical="center"/>
      <protection locked="0"/>
    </xf>
    <xf numFmtId="3" fontId="0" fillId="4" borderId="0" xfId="5" applyNumberFormat="1" applyFont="1" applyBorder="1" applyAlignment="1" applyProtection="1">
      <alignment horizontal="right" vertical="center"/>
      <protection locked="0"/>
    </xf>
    <xf numFmtId="3" fontId="0" fillId="4" borderId="0" xfId="5" applyFont="1" applyAlignment="1" applyProtection="1">
      <alignment horizontal="right" vertical="center"/>
      <protection locked="0"/>
    </xf>
    <xf numFmtId="0" fontId="6" fillId="0" borderId="0" xfId="1" quotePrefix="1" applyFont="1" applyFill="1" applyBorder="1" applyAlignment="1" applyProtection="1">
      <alignment horizontal="right" vertical="center" wrapText="1"/>
      <protection locked="0"/>
    </xf>
    <xf numFmtId="0" fontId="11" fillId="10" borderId="9" xfId="0" applyFont="1" applyFill="1" applyBorder="1" applyAlignment="1" applyProtection="1">
      <alignment horizontal="left"/>
      <protection locked="0"/>
    </xf>
    <xf numFmtId="0" fontId="11" fillId="10" borderId="10" xfId="0" applyFont="1" applyFill="1" applyBorder="1" applyAlignment="1" applyProtection="1">
      <alignment horizontal="left"/>
      <protection locked="0"/>
    </xf>
    <xf numFmtId="0" fontId="11" fillId="10" borderId="11" xfId="0" applyFont="1" applyFill="1" applyBorder="1" applyAlignment="1" applyProtection="1">
      <alignment horizontal="left"/>
      <protection locked="0"/>
    </xf>
    <xf numFmtId="0" fontId="11" fillId="10" borderId="9" xfId="0" quotePrefix="1" applyFont="1" applyFill="1" applyBorder="1" applyAlignment="1" applyProtection="1">
      <alignment horizontal="left"/>
      <protection locked="0"/>
    </xf>
    <xf numFmtId="0" fontId="11" fillId="10" borderId="11" xfId="0" quotePrefix="1" applyFont="1" applyFill="1" applyBorder="1" applyAlignment="1" applyProtection="1">
      <alignment horizontal="left"/>
      <protection locked="0"/>
    </xf>
    <xf numFmtId="0" fontId="11" fillId="10" borderId="10" xfId="0" quotePrefix="1" applyFont="1" applyFill="1" applyBorder="1" applyAlignment="1" applyProtection="1">
      <alignment horizontal="left"/>
      <protection locked="0"/>
    </xf>
    <xf numFmtId="0" fontId="5" fillId="5" borderId="9" xfId="6" applyFont="1" applyBorder="1" applyAlignment="1" applyProtection="1">
      <alignment horizontal="left"/>
      <protection locked="0"/>
    </xf>
    <xf numFmtId="0" fontId="5" fillId="5" borderId="11" xfId="6" applyFont="1" applyBorder="1" applyAlignment="1" applyProtection="1">
      <alignment horizontal="left"/>
      <protection locked="0"/>
    </xf>
    <xf numFmtId="0" fontId="5" fillId="5" borderId="10" xfId="6" applyFont="1" applyBorder="1" applyAlignment="1" applyProtection="1">
      <alignment horizontal="left"/>
      <protection locked="0"/>
    </xf>
    <xf numFmtId="0" fontId="5" fillId="5" borderId="10" xfId="6" applyFont="1" applyBorder="1" applyAlignment="1" applyProtection="1">
      <alignment horizontal="center"/>
      <protection locked="0"/>
    </xf>
    <xf numFmtId="0" fontId="5" fillId="5" borderId="11" xfId="6" applyFont="1" applyBorder="1" applyAlignment="1" applyProtection="1">
      <alignment horizontal="center"/>
      <protection locked="0"/>
    </xf>
    <xf numFmtId="0" fontId="0" fillId="15" borderId="14" xfId="9" applyFont="1" applyFill="1" applyBorder="1" applyAlignment="1">
      <alignment horizontal="center" vertical="center" wrapText="1"/>
    </xf>
    <xf numFmtId="0" fontId="6" fillId="0" borderId="0" xfId="1" quotePrefix="1" applyFont="1" applyFill="1" applyBorder="1" applyAlignment="1" applyProtection="1">
      <alignment horizontal="right" vertical="center" wrapText="1"/>
      <protection locked="0"/>
    </xf>
    <xf numFmtId="0" fontId="11" fillId="10" borderId="9" xfId="0" applyFont="1" applyFill="1" applyBorder="1" applyAlignment="1" applyProtection="1">
      <alignment horizontal="left"/>
      <protection locked="0"/>
    </xf>
    <xf numFmtId="0" fontId="11" fillId="10" borderId="10" xfId="0" applyFont="1" applyFill="1" applyBorder="1" applyAlignment="1" applyProtection="1">
      <alignment horizontal="left"/>
      <protection locked="0"/>
    </xf>
    <xf numFmtId="0" fontId="11" fillId="10" borderId="11" xfId="0" applyFont="1" applyFill="1" applyBorder="1" applyAlignment="1" applyProtection="1">
      <alignment horizontal="left"/>
      <protection locked="0"/>
    </xf>
    <xf numFmtId="0" fontId="5" fillId="5" borderId="9" xfId="6" applyFont="1" applyBorder="1" applyAlignment="1" applyProtection="1">
      <alignment horizontal="left"/>
      <protection locked="0"/>
    </xf>
    <xf numFmtId="0" fontId="5" fillId="5" borderId="11" xfId="6" applyFont="1" applyBorder="1" applyAlignment="1" applyProtection="1">
      <alignment horizontal="left"/>
      <protection locked="0"/>
    </xf>
    <xf numFmtId="0" fontId="5" fillId="5" borderId="10" xfId="6" applyFont="1" applyBorder="1" applyAlignment="1" applyProtection="1">
      <alignment horizontal="center"/>
      <protection locked="0"/>
    </xf>
    <xf numFmtId="0" fontId="5" fillId="5" borderId="11" xfId="6" applyFont="1" applyBorder="1" applyAlignment="1" applyProtection="1">
      <alignment horizontal="center"/>
      <protection locked="0"/>
    </xf>
    <xf numFmtId="0" fontId="11" fillId="10" borderId="2" xfId="0" applyFont="1" applyFill="1" applyBorder="1" applyAlignment="1" applyProtection="1">
      <alignment horizontal="left"/>
      <protection locked="0"/>
    </xf>
    <xf numFmtId="0" fontId="5" fillId="5" borderId="0" xfId="6" applyFont="1" applyBorder="1" applyAlignment="1" applyProtection="1">
      <alignment horizontal="left" vertical="center"/>
      <protection locked="0"/>
    </xf>
    <xf numFmtId="0" fontId="5" fillId="5" borderId="6" xfId="6" applyFont="1" applyBorder="1" applyAlignment="1" applyProtection="1">
      <alignment horizontal="left" vertical="center"/>
      <protection locked="0"/>
    </xf>
    <xf numFmtId="0" fontId="5" fillId="5" borderId="9" xfId="6" applyFont="1" applyBorder="1" applyAlignment="1" applyProtection="1">
      <alignment horizontal="left" vertical="center"/>
      <protection locked="0"/>
    </xf>
    <xf numFmtId="0" fontId="5" fillId="5" borderId="10" xfId="6" applyFont="1" applyBorder="1" applyAlignment="1" applyProtection="1">
      <alignment horizontal="left" vertical="center"/>
      <protection locked="0"/>
    </xf>
    <xf numFmtId="0" fontId="0" fillId="5" borderId="6" xfId="6" applyFont="1" applyBorder="1" applyAlignment="1" applyProtection="1">
      <alignment horizontal="center" vertical="center"/>
      <protection locked="0"/>
    </xf>
    <xf numFmtId="0" fontId="0" fillId="5" borderId="0" xfId="6" applyFont="1" applyBorder="1" applyAlignment="1" applyProtection="1">
      <alignment horizontal="center" vertical="center"/>
      <protection locked="0"/>
    </xf>
    <xf numFmtId="0" fontId="9" fillId="8" borderId="0" xfId="17" applyFont="1" applyBorder="1" applyAlignment="1" applyProtection="1">
      <alignment horizontal="right"/>
      <protection locked="0"/>
    </xf>
    <xf numFmtId="0" fontId="5" fillId="5" borderId="0" xfId="6" applyFont="1" applyBorder="1" applyAlignment="1" applyProtection="1">
      <alignment horizontal="center" vertical="center"/>
      <protection locked="0"/>
    </xf>
    <xf numFmtId="0" fontId="9" fillId="8" borderId="6" xfId="17" applyFont="1" applyBorder="1" applyAlignment="1" applyProtection="1">
      <alignment horizontal="right"/>
      <protection locked="0"/>
    </xf>
    <xf numFmtId="0" fontId="9" fillId="8" borderId="12" xfId="17" applyFont="1" applyBorder="1" applyAlignment="1" applyProtection="1">
      <alignment horizontal="right"/>
      <protection locked="0"/>
    </xf>
    <xf numFmtId="0" fontId="0" fillId="5" borderId="0" xfId="6" applyFont="1" applyBorder="1" applyAlignment="1" applyProtection="1">
      <alignment horizontal="center"/>
      <protection locked="0"/>
    </xf>
    <xf numFmtId="0" fontId="0" fillId="5" borderId="11" xfId="6" applyFont="1" applyBorder="1" applyAlignment="1" applyProtection="1">
      <alignment horizontal="center"/>
      <protection locked="0"/>
    </xf>
    <xf numFmtId="0" fontId="10" fillId="5" borderId="2" xfId="6" applyFont="1" applyBorder="1" applyAlignment="1" applyProtection="1">
      <alignment horizontal="center"/>
      <protection locked="0"/>
    </xf>
    <xf numFmtId="0" fontId="0" fillId="5" borderId="15" xfId="6" applyFont="1" applyBorder="1" applyAlignment="1" applyProtection="1">
      <alignment horizontal="center"/>
      <protection locked="0"/>
    </xf>
    <xf numFmtId="0" fontId="0" fillId="5" borderId="4" xfId="6" applyFont="1" applyBorder="1" applyAlignment="1" applyProtection="1">
      <alignment horizontal="center"/>
      <protection locked="0"/>
    </xf>
    <xf numFmtId="0" fontId="10" fillId="5" borderId="13" xfId="6" applyFont="1" applyBorder="1" applyAlignment="1" applyProtection="1">
      <alignment horizontal="center"/>
      <protection locked="0"/>
    </xf>
    <xf numFmtId="0" fontId="0" fillId="5" borderId="12" xfId="6" applyFont="1" applyBorder="1" applyAlignment="1" applyProtection="1">
      <alignment horizontal="center"/>
      <protection locked="0"/>
    </xf>
    <xf numFmtId="0" fontId="0" fillId="5" borderId="6" xfId="6" applyFont="1" applyBorder="1" applyAlignment="1" applyProtection="1">
      <alignment horizontal="center"/>
      <protection locked="0"/>
    </xf>
    <xf numFmtId="0" fontId="0" fillId="5" borderId="8" xfId="6" applyFont="1" applyBorder="1" applyAlignment="1" applyProtection="1">
      <alignment horizontal="center"/>
      <protection locked="0"/>
    </xf>
    <xf numFmtId="0" fontId="10" fillId="5" borderId="7" xfId="6" applyFont="1" applyBorder="1" applyAlignment="1" applyProtection="1">
      <alignment horizontal="center"/>
      <protection locked="0"/>
    </xf>
    <xf numFmtId="0" fontId="10" fillId="5" borderId="0" xfId="6" applyFont="1" applyBorder="1" applyAlignment="1" applyProtection="1">
      <alignment horizontal="left"/>
      <protection locked="0"/>
    </xf>
    <xf numFmtId="0" fontId="10" fillId="5" borderId="4" xfId="6" applyFont="1" applyBorder="1" applyAlignment="1" applyProtection="1">
      <alignment horizontal="left"/>
      <protection locked="0"/>
    </xf>
    <xf numFmtId="0" fontId="5" fillId="0" borderId="0" xfId="6" applyFont="1" applyFill="1" applyBorder="1" applyAlignment="1" applyProtection="1">
      <alignment horizontal="center" vertical="center" wrapText="1"/>
      <protection locked="0"/>
    </xf>
    <xf numFmtId="3" fontId="5" fillId="0" borderId="0" xfId="5" applyFont="1" applyFill="1" applyBorder="1" applyAlignment="1" applyProtection="1">
      <alignment horizontal="right" vertical="center"/>
      <protection locked="0"/>
    </xf>
    <xf numFmtId="0" fontId="11" fillId="0" borderId="0" xfId="0" quotePrefix="1" applyFont="1" applyFill="1" applyBorder="1" applyAlignment="1" applyProtection="1">
      <alignment horizontal="left"/>
      <protection locked="0"/>
    </xf>
    <xf numFmtId="0" fontId="0" fillId="0" borderId="0" xfId="0" applyFont="1" applyFill="1" applyBorder="1" applyAlignment="1">
      <alignment horizontal="center" vertical="center" wrapText="1"/>
    </xf>
    <xf numFmtId="0" fontId="5" fillId="0" borderId="0" xfId="6" applyFont="1" applyFill="1" applyBorder="1" applyAlignment="1" applyProtection="1">
      <alignment horizontal="center"/>
      <protection locked="0"/>
    </xf>
    <xf numFmtId="0" fontId="0" fillId="5" borderId="10" xfId="6" applyFont="1" applyBorder="1" applyAlignment="1" applyProtection="1">
      <alignment horizontal="left"/>
      <protection locked="0"/>
    </xf>
    <xf numFmtId="0" fontId="5" fillId="5" borderId="13" xfId="6" applyFont="1" applyBorder="1" applyAlignment="1" applyProtection="1">
      <alignment horizontal="left" vertical="center"/>
      <protection locked="0"/>
    </xf>
    <xf numFmtId="0" fontId="0" fillId="0" borderId="0" xfId="6" applyFont="1" applyFill="1" applyBorder="1" applyAlignment="1" applyProtection="1">
      <alignment horizontal="center"/>
      <protection locked="0"/>
    </xf>
    <xf numFmtId="3" fontId="5" fillId="0" borderId="0" xfId="4" applyFont="1" applyFill="1" applyBorder="1" applyAlignment="1" applyProtection="1">
      <alignment horizontal="right" vertical="center"/>
      <protection locked="0"/>
    </xf>
    <xf numFmtId="3" fontId="0" fillId="0" borderId="0" xfId="5" applyFont="1" applyFill="1" applyBorder="1" applyAlignment="1" applyProtection="1">
      <alignment horizontal="right" vertical="center"/>
      <protection locked="0"/>
    </xf>
    <xf numFmtId="0" fontId="0" fillId="0" borderId="0" xfId="0" applyFont="1" applyAlignment="1">
      <alignment vertical="center" wrapText="1"/>
    </xf>
    <xf numFmtId="0" fontId="11" fillId="0" borderId="0" xfId="0" applyFont="1" applyFill="1" applyBorder="1" applyAlignment="1" applyProtection="1">
      <alignment horizontal="left"/>
      <protection locked="0"/>
    </xf>
    <xf numFmtId="0" fontId="0" fillId="5" borderId="7" xfId="6" applyFont="1" applyBorder="1" applyAlignment="1" applyProtection="1">
      <alignment horizontal="center"/>
      <protection locked="0"/>
    </xf>
    <xf numFmtId="0" fontId="11" fillId="9" borderId="7" xfId="0" applyFont="1" applyFill="1" applyBorder="1" applyAlignment="1" applyProtection="1">
      <alignment horizontal="left"/>
      <protection locked="0"/>
    </xf>
    <xf numFmtId="3" fontId="5" fillId="3" borderId="11" xfId="4" applyFont="1" applyBorder="1" applyAlignment="1" applyProtection="1">
      <alignment horizontal="right" vertical="center"/>
      <protection locked="0"/>
    </xf>
    <xf numFmtId="0" fontId="12" fillId="5" borderId="7" xfId="6" applyFont="1" applyBorder="1" applyAlignment="1" applyProtection="1">
      <alignment horizontal="left"/>
      <protection locked="0"/>
    </xf>
    <xf numFmtId="0" fontId="0" fillId="5" borderId="0" xfId="6" applyFont="1" applyBorder="1" applyAlignment="1" applyProtection="1">
      <alignment horizontal="left"/>
      <protection locked="0"/>
    </xf>
    <xf numFmtId="0" fontId="0" fillId="15" borderId="9" xfId="0" applyFont="1" applyFill="1" applyBorder="1" applyAlignment="1">
      <alignment horizontal="center"/>
    </xf>
    <xf numFmtId="0" fontId="0" fillId="5" borderId="13" xfId="6" applyFont="1" applyBorder="1" applyAlignment="1" applyProtection="1">
      <alignment horizontal="center"/>
      <protection locked="0"/>
    </xf>
    <xf numFmtId="3" fontId="0" fillId="4" borderId="6" xfId="5" applyFont="1" applyBorder="1" applyAlignment="1" applyProtection="1">
      <alignment horizontal="right"/>
      <protection locked="0"/>
    </xf>
    <xf numFmtId="0" fontId="0" fillId="0" borderId="0" xfId="6" applyFont="1" applyFill="1" applyBorder="1" applyAlignment="1" applyProtection="1">
      <alignment horizontal="left"/>
      <protection locked="0"/>
    </xf>
    <xf numFmtId="3" fontId="5" fillId="0" borderId="0" xfId="5" applyFont="1" applyFill="1" applyBorder="1" applyAlignment="1" applyProtection="1">
      <alignment horizontal="left" vertical="center"/>
      <protection locked="0"/>
    </xf>
    <xf numFmtId="3" fontId="5" fillId="4" borderId="1" xfId="5" applyFont="1" applyBorder="1" applyAlignment="1" applyProtection="1">
      <alignment horizontal="center" vertical="center"/>
      <protection locked="0"/>
    </xf>
    <xf numFmtId="0" fontId="0" fillId="5" borderId="2" xfId="6" applyFont="1" applyBorder="1" applyAlignment="1" applyProtection="1">
      <alignment horizontal="left"/>
      <protection locked="0"/>
    </xf>
    <xf numFmtId="0" fontId="0" fillId="5" borderId="3" xfId="6" applyFont="1" applyBorder="1" applyAlignment="1" applyProtection="1">
      <alignment horizontal="left"/>
      <protection locked="0"/>
    </xf>
    <xf numFmtId="0" fontId="0" fillId="5" borderId="4" xfId="6" applyFont="1" applyBorder="1" applyAlignment="1" applyProtection="1">
      <alignment horizontal="left"/>
      <protection locked="0"/>
    </xf>
    <xf numFmtId="0" fontId="6" fillId="7" borderId="12" xfId="1" quotePrefix="1" applyFill="1" applyBorder="1" applyAlignment="1">
      <alignment horizontal="left"/>
    </xf>
    <xf numFmtId="0" fontId="6" fillId="0" borderId="0" xfId="1" quotePrefix="1" applyFill="1" applyBorder="1" applyAlignment="1" applyProtection="1">
      <alignment horizontal="right" vertical="center" wrapText="1"/>
      <protection locked="0"/>
    </xf>
    <xf numFmtId="165" fontId="13" fillId="0" borderId="0" xfId="16" applyNumberFormat="1" applyFont="1" applyFill="1" applyBorder="1" applyAlignment="1">
      <alignment vertical="center"/>
    </xf>
    <xf numFmtId="3" fontId="5" fillId="0" borderId="0" xfId="4" applyNumberFormat="1" applyFont="1" applyFill="1" applyBorder="1" applyAlignment="1" applyProtection="1">
      <alignment horizontal="left" vertical="center" indent="8"/>
      <protection locked="0"/>
    </xf>
    <xf numFmtId="0" fontId="0" fillId="0" borderId="0" xfId="0" applyFont="1" applyAlignment="1">
      <alignment horizontal="left" wrapText="1"/>
    </xf>
    <xf numFmtId="0" fontId="12" fillId="0" borderId="0" xfId="0" applyFont="1" applyAlignment="1">
      <alignment horizontal="right"/>
    </xf>
    <xf numFmtId="0" fontId="12" fillId="0" borderId="0" xfId="0" applyFont="1" applyAlignment="1">
      <alignment horizontal="left"/>
    </xf>
    <xf numFmtId="3" fontId="12" fillId="0" borderId="0" xfId="0" applyNumberFormat="1" applyFont="1" applyAlignment="1">
      <alignment horizontal="right"/>
    </xf>
    <xf numFmtId="3" fontId="28" fillId="0" borderId="0" xfId="0" applyNumberFormat="1" applyFont="1" applyAlignment="1">
      <alignment horizontal="right"/>
    </xf>
    <xf numFmtId="0" fontId="12" fillId="0" borderId="0" xfId="6" applyFont="1" applyFill="1" applyBorder="1" applyAlignment="1" applyProtection="1">
      <alignment horizontal="right"/>
      <protection locked="0"/>
    </xf>
    <xf numFmtId="0" fontId="29" fillId="0" borderId="0" xfId="0" applyFont="1"/>
    <xf numFmtId="0" fontId="11" fillId="10" borderId="9" xfId="0" quotePrefix="1" applyFont="1" applyFill="1" applyBorder="1" applyAlignment="1" applyProtection="1">
      <alignment horizontal="left"/>
      <protection locked="0"/>
    </xf>
    <xf numFmtId="0" fontId="11" fillId="10" borderId="10" xfId="0" quotePrefix="1" applyFont="1" applyFill="1" applyBorder="1" applyAlignment="1" applyProtection="1">
      <alignment horizontal="left"/>
      <protection locked="0"/>
    </xf>
    <xf numFmtId="0" fontId="11" fillId="10" borderId="11" xfId="0" quotePrefix="1" applyFont="1" applyFill="1" applyBorder="1" applyAlignment="1" applyProtection="1">
      <alignment horizontal="left"/>
      <protection locked="0"/>
    </xf>
    <xf numFmtId="0" fontId="11" fillId="10" borderId="9" xfId="0" applyFont="1" applyFill="1" applyBorder="1" applyAlignment="1" applyProtection="1">
      <alignment horizontal="left"/>
      <protection locked="0"/>
    </xf>
    <xf numFmtId="0" fontId="11" fillId="10" borderId="10" xfId="0" applyFont="1" applyFill="1" applyBorder="1" applyAlignment="1" applyProtection="1">
      <alignment horizontal="left"/>
      <protection locked="0"/>
    </xf>
    <xf numFmtId="0" fontId="11" fillId="10" borderId="11" xfId="0" applyFont="1" applyFill="1" applyBorder="1" applyAlignment="1" applyProtection="1">
      <alignment horizontal="left"/>
      <protection locked="0"/>
    </xf>
    <xf numFmtId="3" fontId="0" fillId="4" borderId="1" xfId="5" applyFont="1" applyBorder="1" applyAlignment="1">
      <alignment horizontal="right" vertical="center"/>
      <protection locked="0"/>
    </xf>
    <xf numFmtId="1" fontId="0" fillId="4" borderId="1" xfId="5" quotePrefix="1" applyNumberFormat="1" applyFont="1" applyBorder="1" applyAlignment="1">
      <alignment horizontal="right" vertical="center"/>
      <protection locked="0"/>
    </xf>
    <xf numFmtId="0" fontId="0" fillId="0" borderId="0" xfId="0" applyFont="1" applyBorder="1" applyAlignment="1" applyProtection="1">
      <alignment horizontal="right"/>
      <protection locked="0"/>
    </xf>
    <xf numFmtId="172" fontId="5" fillId="4" borderId="12" xfId="5" applyNumberFormat="1" applyFont="1" applyBorder="1" applyAlignment="1" applyProtection="1">
      <alignment horizontal="right" vertical="center"/>
      <protection locked="0"/>
    </xf>
    <xf numFmtId="3" fontId="0" fillId="0" borderId="0" xfId="0" applyNumberFormat="1" applyFont="1" applyAlignment="1">
      <alignment horizontal="left"/>
    </xf>
    <xf numFmtId="0" fontId="11" fillId="10" borderId="0" xfId="0" quotePrefix="1" applyFont="1" applyFill="1" applyBorder="1" applyAlignment="1" applyProtection="1">
      <alignment horizontal="left"/>
      <protection locked="0"/>
    </xf>
    <xf numFmtId="0" fontId="11" fillId="10" borderId="5" xfId="0" applyFont="1" applyFill="1" applyBorder="1" applyAlignment="1" applyProtection="1">
      <alignment horizontal="left"/>
      <protection locked="0"/>
    </xf>
    <xf numFmtId="0" fontId="0" fillId="0" borderId="0" xfId="0" applyFont="1" applyAlignment="1">
      <alignment vertical="center" wrapText="1"/>
    </xf>
    <xf numFmtId="0" fontId="5" fillId="0" borderId="5" xfId="9" applyFont="1" applyFill="1" applyBorder="1" applyAlignment="1">
      <alignment horizontal="left" vertical="center"/>
    </xf>
    <xf numFmtId="0" fontId="0" fillId="0" borderId="3" xfId="0" applyFont="1" applyFill="1" applyBorder="1" applyAlignment="1">
      <alignment horizontal="left"/>
    </xf>
    <xf numFmtId="0" fontId="5" fillId="0" borderId="7" xfId="9" applyFont="1" applyFill="1" applyBorder="1" applyAlignment="1">
      <alignment horizontal="left" vertical="center"/>
    </xf>
    <xf numFmtId="0" fontId="0" fillId="0" borderId="15" xfId="0" applyFont="1" applyFill="1" applyBorder="1" applyAlignment="1">
      <alignment horizontal="left"/>
    </xf>
    <xf numFmtId="0" fontId="0" fillId="0" borderId="6" xfId="9" applyFont="1" applyFill="1" applyBorder="1" applyAlignment="1">
      <alignment horizontal="left" vertical="center"/>
    </xf>
    <xf numFmtId="0" fontId="0" fillId="0" borderId="5" xfId="0" applyFont="1" applyFill="1" applyBorder="1" applyAlignment="1">
      <alignment horizontal="left"/>
    </xf>
    <xf numFmtId="170" fontId="5" fillId="20" borderId="6" xfId="5" applyNumberFormat="1" applyFont="1" applyFill="1" applyBorder="1" applyAlignment="1" applyProtection="1">
      <alignment horizontal="right" vertical="center"/>
      <protection locked="0"/>
    </xf>
    <xf numFmtId="170" fontId="5" fillId="20" borderId="8" xfId="5" applyNumberFormat="1" applyFont="1" applyFill="1" applyBorder="1" applyAlignment="1" applyProtection="1">
      <alignment horizontal="right" vertical="center"/>
      <protection locked="0"/>
    </xf>
    <xf numFmtId="0" fontId="11" fillId="9" borderId="13" xfId="0" applyFont="1" applyFill="1" applyBorder="1" applyAlignment="1">
      <alignment horizontal="center" vertical="center" wrapText="1"/>
    </xf>
    <xf numFmtId="9" fontId="12" fillId="0" borderId="0" xfId="0" applyNumberFormat="1" applyFont="1" applyAlignment="1">
      <alignment horizontal="right"/>
    </xf>
    <xf numFmtId="0" fontId="19" fillId="0" borderId="0" xfId="0" applyFont="1" applyAlignment="1">
      <alignment horizontal="left"/>
    </xf>
    <xf numFmtId="10" fontId="0" fillId="4" borderId="1" xfId="5" applyNumberFormat="1" applyFont="1" applyBorder="1" applyAlignment="1" applyProtection="1">
      <alignment horizontal="right" vertical="center"/>
      <protection locked="0"/>
    </xf>
    <xf numFmtId="0" fontId="19" fillId="0" borderId="0" xfId="6" applyFont="1" applyFill="1" applyBorder="1" applyAlignment="1" applyProtection="1">
      <alignment horizontal="left"/>
      <protection locked="0"/>
    </xf>
    <xf numFmtId="3" fontId="0" fillId="4" borderId="13" xfId="5" applyNumberFormat="1" applyFont="1" applyBorder="1" applyAlignment="1" applyProtection="1">
      <alignment horizontal="right" vertical="center"/>
      <protection locked="0"/>
    </xf>
    <xf numFmtId="165" fontId="0" fillId="4" borderId="12" xfId="5" applyNumberFormat="1" applyFont="1" applyBorder="1" applyAlignment="1" applyProtection="1">
      <alignment horizontal="right" vertical="center"/>
      <protection locked="0"/>
    </xf>
    <xf numFmtId="0" fontId="10" fillId="0" borderId="0" xfId="0" applyFont="1"/>
    <xf numFmtId="0" fontId="19" fillId="0" borderId="0" xfId="0" applyFont="1"/>
    <xf numFmtId="0" fontId="31" fillId="0" borderId="0" xfId="0" applyFont="1"/>
    <xf numFmtId="3" fontId="19" fillId="0" borderId="0" xfId="0" applyNumberFormat="1" applyFont="1"/>
    <xf numFmtId="0" fontId="0" fillId="0" borderId="0" xfId="0" applyFont="1" applyAlignment="1">
      <alignment horizontal="left" vertical="center"/>
    </xf>
    <xf numFmtId="3" fontId="8" fillId="4" borderId="8" xfId="5" applyBorder="1">
      <alignment horizontal="right" vertical="center"/>
      <protection locked="0"/>
    </xf>
    <xf numFmtId="3" fontId="5" fillId="3" borderId="13" xfId="4" applyNumberFormat="1" applyFont="1" applyBorder="1" applyAlignment="1" applyProtection="1">
      <alignment horizontal="right" vertical="center"/>
    </xf>
    <xf numFmtId="3" fontId="5" fillId="3" borderId="13" xfId="4" applyFont="1" applyBorder="1" applyAlignment="1" applyProtection="1">
      <alignment horizontal="right" vertical="center"/>
    </xf>
    <xf numFmtId="3" fontId="5" fillId="3" borderId="1" xfId="4" applyFont="1" applyBorder="1" applyAlignment="1" applyProtection="1">
      <alignment horizontal="right" vertical="center"/>
    </xf>
    <xf numFmtId="3" fontId="5" fillId="7" borderId="1" xfId="7" applyNumberFormat="1" applyFont="1" applyBorder="1" applyAlignment="1" applyProtection="1">
      <alignment horizontal="right"/>
    </xf>
    <xf numFmtId="165" fontId="5" fillId="3" borderId="7" xfId="4" applyNumberFormat="1" applyFont="1" applyBorder="1" applyAlignment="1" applyProtection="1">
      <alignment horizontal="right" vertical="center"/>
    </xf>
    <xf numFmtId="165" fontId="5" fillId="3" borderId="13" xfId="4" applyNumberFormat="1" applyFont="1" applyBorder="1" applyAlignment="1" applyProtection="1">
      <alignment horizontal="right" vertical="center"/>
    </xf>
    <xf numFmtId="165" fontId="5" fillId="3" borderId="2" xfId="4" applyNumberFormat="1" applyFont="1" applyBorder="1" applyAlignment="1" applyProtection="1">
      <alignment horizontal="right" vertical="center"/>
    </xf>
    <xf numFmtId="165" fontId="5" fillId="3" borderId="3" xfId="4" applyNumberFormat="1" applyFont="1" applyBorder="1" applyAlignment="1" applyProtection="1">
      <alignment horizontal="right" vertical="center"/>
    </xf>
    <xf numFmtId="165" fontId="5" fillId="3" borderId="6" xfId="4" applyNumberFormat="1" applyFont="1" applyBorder="1" applyAlignment="1" applyProtection="1">
      <alignment horizontal="right" vertical="center"/>
    </xf>
    <xf numFmtId="165" fontId="5" fillId="3" borderId="12" xfId="4" applyNumberFormat="1" applyFont="1" applyBorder="1" applyAlignment="1" applyProtection="1">
      <alignment horizontal="right" vertical="center"/>
    </xf>
    <xf numFmtId="165" fontId="5" fillId="3" borderId="0" xfId="4" applyNumberFormat="1" applyFont="1" applyBorder="1" applyAlignment="1" applyProtection="1">
      <alignment horizontal="right" vertical="center"/>
    </xf>
    <xf numFmtId="165" fontId="5" fillId="3" borderId="15" xfId="4" applyNumberFormat="1" applyFont="1" applyBorder="1" applyAlignment="1" applyProtection="1">
      <alignment horizontal="right" vertical="center"/>
    </xf>
    <xf numFmtId="165" fontId="5" fillId="3" borderId="8" xfId="4" applyNumberFormat="1" applyFont="1" applyBorder="1" applyAlignment="1" applyProtection="1">
      <alignment horizontal="right" vertical="center"/>
    </xf>
    <xf numFmtId="165" fontId="5" fillId="3" borderId="14" xfId="4" applyNumberFormat="1" applyFont="1" applyBorder="1" applyAlignment="1" applyProtection="1">
      <alignment horizontal="right" vertical="center"/>
    </xf>
    <xf numFmtId="165" fontId="5" fillId="3" borderId="4" xfId="4" applyNumberFormat="1" applyFont="1" applyBorder="1" applyAlignment="1" applyProtection="1">
      <alignment horizontal="right" vertical="center"/>
    </xf>
    <xf numFmtId="165" fontId="5" fillId="3" borderId="5" xfId="4" applyNumberFormat="1" applyFont="1" applyBorder="1" applyAlignment="1" applyProtection="1">
      <alignment horizontal="right" vertical="center"/>
    </xf>
    <xf numFmtId="169" fontId="5" fillId="3" borderId="7" xfId="4" applyNumberFormat="1" applyFont="1" applyBorder="1" applyAlignment="1" applyProtection="1">
      <alignment horizontal="right" vertical="center"/>
    </xf>
    <xf numFmtId="169" fontId="29" fillId="3" borderId="13" xfId="4" applyNumberFormat="1" applyFont="1" applyBorder="1" applyAlignment="1" applyProtection="1">
      <alignment horizontal="right" vertical="center"/>
    </xf>
    <xf numFmtId="169" fontId="5" fillId="3" borderId="2" xfId="4" applyNumberFormat="1" applyFont="1" applyBorder="1" applyAlignment="1" applyProtection="1">
      <alignment horizontal="right" vertical="center"/>
    </xf>
    <xf numFmtId="169" fontId="5" fillId="3" borderId="13" xfId="4" applyNumberFormat="1" applyFont="1" applyBorder="1" applyAlignment="1" applyProtection="1">
      <alignment horizontal="right" vertical="center"/>
    </xf>
    <xf numFmtId="169" fontId="5" fillId="3" borderId="3" xfId="4" applyNumberFormat="1" applyFont="1" applyBorder="1" applyAlignment="1" applyProtection="1">
      <alignment horizontal="right" vertical="center"/>
    </xf>
    <xf numFmtId="169" fontId="5" fillId="3" borderId="6" xfId="4" applyNumberFormat="1" applyFont="1" applyBorder="1" applyAlignment="1" applyProtection="1">
      <alignment horizontal="right" vertical="center"/>
    </xf>
    <xf numFmtId="169" fontId="29" fillId="3" borderId="12" xfId="4" applyNumberFormat="1" applyFont="1" applyBorder="1" applyAlignment="1" applyProtection="1">
      <alignment horizontal="right" vertical="center"/>
    </xf>
    <xf numFmtId="169" fontId="5" fillId="3" borderId="0" xfId="4" applyNumberFormat="1" applyFont="1" applyBorder="1" applyAlignment="1" applyProtection="1">
      <alignment horizontal="right" vertical="center"/>
    </xf>
    <xf numFmtId="169" fontId="5" fillId="3" borderId="12" xfId="4" applyNumberFormat="1" applyFont="1" applyBorder="1" applyAlignment="1" applyProtection="1">
      <alignment horizontal="right" vertical="center"/>
    </xf>
    <xf numFmtId="169" fontId="5" fillId="3" borderId="15" xfId="4" applyNumberFormat="1" applyFont="1" applyBorder="1" applyAlignment="1" applyProtection="1">
      <alignment horizontal="right" vertical="center"/>
    </xf>
    <xf numFmtId="169" fontId="5" fillId="3" borderId="8" xfId="4" applyNumberFormat="1" applyFont="1" applyBorder="1" applyAlignment="1" applyProtection="1">
      <alignment horizontal="right" vertical="center"/>
    </xf>
    <xf numFmtId="169" fontId="29" fillId="3" borderId="14" xfId="4" applyNumberFormat="1" applyFont="1" applyBorder="1" applyAlignment="1" applyProtection="1">
      <alignment horizontal="right" vertical="center"/>
    </xf>
    <xf numFmtId="169" fontId="5" fillId="3" borderId="4" xfId="4" applyNumberFormat="1" applyFont="1" applyBorder="1" applyAlignment="1" applyProtection="1">
      <alignment horizontal="right" vertical="center"/>
    </xf>
    <xf numFmtId="169" fontId="5" fillId="3" borderId="14" xfId="4" applyNumberFormat="1" applyFont="1" applyBorder="1" applyAlignment="1" applyProtection="1">
      <alignment horizontal="right" vertical="center"/>
    </xf>
    <xf numFmtId="169" fontId="5" fillId="3" borderId="5" xfId="4" applyNumberFormat="1" applyFont="1" applyBorder="1" applyAlignment="1" applyProtection="1">
      <alignment horizontal="right" vertical="center"/>
    </xf>
    <xf numFmtId="3" fontId="5" fillId="3" borderId="12" xfId="4" applyFont="1" applyBorder="1" applyAlignment="1" applyProtection="1">
      <alignment horizontal="right" vertical="center"/>
    </xf>
    <xf numFmtId="3" fontId="5" fillId="3" borderId="1" xfId="4" applyNumberFormat="1" applyFont="1" applyBorder="1" applyAlignment="1" applyProtection="1">
      <alignment horizontal="right" vertical="center"/>
    </xf>
    <xf numFmtId="3" fontId="5" fillId="3" borderId="12" xfId="4" applyNumberFormat="1" applyFont="1" applyBorder="1" applyAlignment="1" applyProtection="1">
      <alignment horizontal="right" vertical="center"/>
    </xf>
    <xf numFmtId="3" fontId="5" fillId="3" borderId="3" xfId="4" applyNumberFormat="1" applyFont="1" applyBorder="1" applyAlignment="1" applyProtection="1">
      <alignment horizontal="right" vertical="center"/>
    </xf>
    <xf numFmtId="3" fontId="5" fillId="3" borderId="15" xfId="4" applyNumberFormat="1" applyFont="1" applyBorder="1" applyAlignment="1" applyProtection="1">
      <alignment horizontal="right" vertical="center"/>
    </xf>
    <xf numFmtId="3" fontId="5" fillId="3" borderId="14" xfId="4" applyNumberFormat="1" applyFont="1" applyBorder="1" applyAlignment="1" applyProtection="1">
      <alignment horizontal="right" vertical="center"/>
    </xf>
    <xf numFmtId="3" fontId="5" fillId="3" borderId="14" xfId="4" applyFont="1" applyBorder="1" applyAlignment="1" applyProtection="1">
      <alignment horizontal="right" vertical="center"/>
    </xf>
    <xf numFmtId="3" fontId="5" fillId="3" borderId="7" xfId="4" applyFont="1" applyBorder="1" applyAlignment="1" applyProtection="1">
      <alignment horizontal="right" vertical="center"/>
    </xf>
    <xf numFmtId="3" fontId="5" fillId="3" borderId="6" xfId="4" applyFont="1" applyBorder="1" applyAlignment="1" applyProtection="1">
      <alignment horizontal="right" vertical="center"/>
    </xf>
    <xf numFmtId="0" fontId="19" fillId="0" borderId="0" xfId="0" quotePrefix="1" applyFont="1" applyFill="1" applyBorder="1" applyAlignment="1" applyProtection="1">
      <alignment horizontal="left"/>
    </xf>
    <xf numFmtId="3" fontId="5" fillId="3" borderId="11" xfId="4" applyFont="1" applyBorder="1" applyAlignment="1" applyProtection="1">
      <alignment horizontal="right"/>
    </xf>
    <xf numFmtId="3" fontId="5" fillId="3" borderId="9" xfId="4" applyFont="1" applyBorder="1" applyAlignment="1" applyProtection="1">
      <alignment horizontal="right"/>
    </xf>
    <xf numFmtId="3" fontId="0" fillId="3" borderId="10" xfId="4" applyFont="1" applyBorder="1" applyAlignment="1" applyProtection="1">
      <alignment horizontal="right"/>
    </xf>
    <xf numFmtId="3" fontId="5" fillId="3" borderId="10" xfId="4" applyFont="1" applyBorder="1" applyAlignment="1" applyProtection="1">
      <alignment horizontal="right"/>
    </xf>
    <xf numFmtId="3" fontId="5" fillId="3" borderId="10" xfId="4" applyFont="1" applyBorder="1" applyAlignment="1" applyProtection="1">
      <alignment horizontal="right" vertical="center"/>
    </xf>
    <xf numFmtId="3" fontId="5" fillId="3" borderId="1" xfId="4" applyFont="1" applyBorder="1" applyAlignment="1" applyProtection="1">
      <alignment horizontal="right"/>
    </xf>
    <xf numFmtId="3" fontId="5" fillId="3" borderId="15" xfId="4" applyFont="1" applyBorder="1" applyAlignment="1" applyProtection="1">
      <alignment horizontal="right" vertical="center"/>
    </xf>
    <xf numFmtId="3" fontId="5" fillId="3" borderId="5" xfId="4" applyFont="1" applyBorder="1" applyAlignment="1" applyProtection="1">
      <alignment horizontal="right" vertical="center"/>
    </xf>
    <xf numFmtId="3" fontId="5" fillId="3" borderId="8" xfId="4" applyNumberFormat="1" applyFont="1" applyBorder="1" applyAlignment="1" applyProtection="1">
      <alignment horizontal="right" vertical="center"/>
    </xf>
    <xf numFmtId="3" fontId="5" fillId="3" borderId="3" xfId="4" applyFont="1" applyBorder="1" applyAlignment="1" applyProtection="1">
      <alignment horizontal="right" vertical="center"/>
    </xf>
    <xf numFmtId="3" fontId="5" fillId="3" borderId="10" xfId="4" applyNumberFormat="1" applyFont="1" applyBorder="1" applyAlignment="1" applyProtection="1">
      <alignment horizontal="right" vertical="center"/>
    </xf>
    <xf numFmtId="3" fontId="5" fillId="3" borderId="11" xfId="4" applyNumberFormat="1" applyFont="1" applyBorder="1" applyAlignment="1" applyProtection="1">
      <alignment horizontal="right" vertical="center"/>
    </xf>
    <xf numFmtId="3" fontId="5" fillId="3" borderId="11" xfId="4" applyFont="1" applyBorder="1" applyAlignment="1" applyProtection="1">
      <alignment horizontal="right" vertical="center"/>
    </xf>
    <xf numFmtId="3" fontId="5" fillId="3" borderId="2" xfId="4" applyFont="1" applyBorder="1" applyAlignment="1" applyProtection="1">
      <alignment horizontal="right" vertical="center"/>
    </xf>
    <xf numFmtId="3" fontId="5" fillId="3" borderId="0" xfId="4" applyFont="1" applyBorder="1" applyAlignment="1" applyProtection="1">
      <alignment horizontal="right" vertical="center"/>
    </xf>
    <xf numFmtId="3" fontId="5" fillId="3" borderId="4" xfId="4" applyFont="1" applyBorder="1" applyAlignment="1" applyProtection="1">
      <alignment horizontal="right" vertical="center"/>
    </xf>
    <xf numFmtId="3" fontId="5" fillId="3" borderId="1" xfId="4" applyNumberFormat="1" applyFont="1" applyBorder="1" applyAlignment="1" applyProtection="1">
      <alignment horizontal="right"/>
    </xf>
    <xf numFmtId="3" fontId="5" fillId="3" borderId="7" xfId="4" applyFont="1" applyBorder="1" applyAlignment="1" applyProtection="1">
      <alignment horizontal="right"/>
    </xf>
    <xf numFmtId="3" fontId="5" fillId="3" borderId="2" xfId="4" applyFont="1" applyBorder="1" applyAlignment="1" applyProtection="1">
      <alignment horizontal="right"/>
    </xf>
    <xf numFmtId="3" fontId="5" fillId="3" borderId="5" xfId="4" applyFont="1" applyBorder="1" applyAlignment="1" applyProtection="1">
      <alignment horizontal="right"/>
    </xf>
    <xf numFmtId="3" fontId="5" fillId="3" borderId="6" xfId="4" applyNumberFormat="1" applyFont="1" applyBorder="1" applyAlignment="1" applyProtection="1">
      <alignment horizontal="right" vertical="center"/>
    </xf>
    <xf numFmtId="3" fontId="5" fillId="3" borderId="7" xfId="4" applyNumberFormat="1" applyFont="1" applyBorder="1" applyAlignment="1" applyProtection="1">
      <alignment horizontal="right" vertical="center"/>
    </xf>
    <xf numFmtId="3" fontId="5" fillId="3" borderId="2" xfId="4" applyNumberFormat="1" applyFont="1" applyBorder="1" applyAlignment="1" applyProtection="1">
      <alignment horizontal="right" vertical="center"/>
    </xf>
    <xf numFmtId="3" fontId="5" fillId="3" borderId="3" xfId="4" applyFont="1" applyBorder="1" applyAlignment="1" applyProtection="1">
      <alignment horizontal="right"/>
    </xf>
    <xf numFmtId="3" fontId="5" fillId="3" borderId="0" xfId="4" applyNumberFormat="1" applyFont="1" applyBorder="1" applyAlignment="1" applyProtection="1">
      <alignment horizontal="right" vertical="center"/>
    </xf>
    <xf numFmtId="3" fontId="5" fillId="3" borderId="6" xfId="4" applyFont="1" applyBorder="1" applyAlignment="1" applyProtection="1">
      <alignment horizontal="right"/>
    </xf>
    <xf numFmtId="3" fontId="5" fillId="3" borderId="0" xfId="4" applyFont="1" applyBorder="1" applyAlignment="1" applyProtection="1">
      <alignment horizontal="right"/>
    </xf>
    <xf numFmtId="3" fontId="5" fillId="3" borderId="15" xfId="4" applyFont="1" applyBorder="1" applyAlignment="1" applyProtection="1">
      <alignment horizontal="right"/>
    </xf>
    <xf numFmtId="3" fontId="5" fillId="3" borderId="4" xfId="4" applyNumberFormat="1" applyFont="1" applyBorder="1" applyAlignment="1" applyProtection="1">
      <alignment horizontal="right" vertical="center"/>
    </xf>
    <xf numFmtId="3" fontId="5" fillId="3" borderId="5" xfId="4" applyNumberFormat="1" applyFont="1" applyBorder="1" applyAlignment="1" applyProtection="1">
      <alignment horizontal="right" vertical="center"/>
    </xf>
    <xf numFmtId="3" fontId="5" fillId="3" borderId="8" xfId="4" applyFont="1" applyBorder="1" applyAlignment="1" applyProtection="1">
      <alignment horizontal="right"/>
    </xf>
    <xf numFmtId="3" fontId="5" fillId="3" borderId="4" xfId="4" applyFont="1" applyBorder="1" applyAlignment="1" applyProtection="1">
      <alignment horizontal="right"/>
    </xf>
    <xf numFmtId="3" fontId="5" fillId="3" borderId="14" xfId="4" applyFont="1" applyBorder="1" applyAlignment="1" applyProtection="1">
      <alignment horizontal="right"/>
    </xf>
    <xf numFmtId="0" fontId="5" fillId="3" borderId="9" xfId="4" applyNumberFormat="1" applyFont="1" applyBorder="1" applyAlignment="1" applyProtection="1">
      <alignment horizontal="right" vertical="center"/>
    </xf>
    <xf numFmtId="3" fontId="5" fillId="3" borderId="8" xfId="4" applyFont="1" applyBorder="1" applyAlignment="1" applyProtection="1">
      <alignment horizontal="right" vertical="center"/>
    </xf>
    <xf numFmtId="3" fontId="5" fillId="3" borderId="9" xfId="4" applyFont="1" applyBorder="1" applyAlignment="1" applyProtection="1">
      <alignment horizontal="right" vertical="center"/>
    </xf>
    <xf numFmtId="3" fontId="5" fillId="7" borderId="1" xfId="4" applyNumberFormat="1" applyFont="1" applyFill="1" applyBorder="1" applyAlignment="1" applyProtection="1">
      <alignment horizontal="right" vertical="center"/>
    </xf>
    <xf numFmtId="173" fontId="5" fillId="3" borderId="1" xfId="4" applyNumberFormat="1" applyFont="1" applyBorder="1" applyAlignment="1" applyProtection="1">
      <alignment horizontal="right" vertical="center"/>
    </xf>
    <xf numFmtId="0" fontId="13" fillId="2" borderId="0" xfId="3" applyFont="1" applyBorder="1" applyAlignment="1" applyProtection="1">
      <alignment horizontal="right"/>
    </xf>
    <xf numFmtId="0" fontId="13" fillId="4" borderId="13" xfId="0" applyFont="1" applyFill="1" applyBorder="1" applyAlignment="1" applyProtection="1">
      <alignment horizontal="right"/>
      <protection locked="0"/>
    </xf>
    <xf numFmtId="3" fontId="13" fillId="4" borderId="13" xfId="0" applyNumberFormat="1" applyFont="1" applyFill="1" applyBorder="1" applyProtection="1">
      <protection locked="0"/>
    </xf>
    <xf numFmtId="171" fontId="13" fillId="4" borderId="13" xfId="0" applyNumberFormat="1" applyFont="1" applyFill="1" applyBorder="1" applyProtection="1">
      <protection locked="0"/>
    </xf>
    <xf numFmtId="0" fontId="13" fillId="4" borderId="12" xfId="0" applyFont="1" applyFill="1" applyBorder="1" applyAlignment="1" applyProtection="1">
      <alignment horizontal="right"/>
      <protection locked="0"/>
    </xf>
    <xf numFmtId="3" fontId="13" fillId="4" borderId="12" xfId="0" applyNumberFormat="1" applyFont="1" applyFill="1" applyBorder="1" applyProtection="1">
      <protection locked="0"/>
    </xf>
    <xf numFmtId="171" fontId="13" fillId="4" borderId="12" xfId="0" applyNumberFormat="1" applyFont="1" applyFill="1" applyBorder="1" applyProtection="1">
      <protection locked="0"/>
    </xf>
    <xf numFmtId="0" fontId="13" fillId="4" borderId="14" xfId="0" applyFont="1" applyFill="1" applyBorder="1" applyAlignment="1" applyProtection="1">
      <alignment horizontal="right"/>
      <protection locked="0"/>
    </xf>
    <xf numFmtId="3" fontId="13" fillId="4" borderId="14" xfId="0" applyNumberFormat="1" applyFont="1" applyFill="1" applyBorder="1" applyProtection="1">
      <protection locked="0"/>
    </xf>
    <xf numFmtId="171" fontId="13" fillId="4" borderId="14" xfId="0" applyNumberFormat="1" applyFont="1" applyFill="1" applyBorder="1" applyProtection="1">
      <protection locked="0"/>
    </xf>
    <xf numFmtId="171" fontId="13" fillId="4" borderId="7" xfId="0" applyNumberFormat="1" applyFont="1" applyFill="1" applyBorder="1" applyProtection="1">
      <protection locked="0"/>
    </xf>
    <xf numFmtId="171" fontId="13" fillId="4" borderId="6" xfId="0" applyNumberFormat="1" applyFont="1" applyFill="1" applyBorder="1" applyProtection="1">
      <protection locked="0"/>
    </xf>
    <xf numFmtId="171" fontId="13" fillId="4" borderId="8" xfId="0" applyNumberFormat="1" applyFont="1" applyFill="1" applyBorder="1" applyProtection="1">
      <protection locked="0"/>
    </xf>
    <xf numFmtId="170" fontId="13" fillId="4" borderId="12" xfId="0" applyNumberFormat="1" applyFont="1" applyFill="1" applyBorder="1" applyProtection="1">
      <protection locked="0"/>
    </xf>
    <xf numFmtId="170" fontId="13" fillId="4" borderId="14" xfId="0" applyNumberFormat="1" applyFont="1" applyFill="1" applyBorder="1" applyProtection="1">
      <protection locked="0"/>
    </xf>
    <xf numFmtId="171" fontId="13" fillId="4" borderId="13" xfId="0" applyNumberFormat="1" applyFont="1" applyFill="1" applyBorder="1" applyAlignment="1" applyProtection="1">
      <alignment horizontal="right"/>
      <protection locked="0"/>
    </xf>
    <xf numFmtId="171" fontId="13" fillId="4" borderId="12" xfId="0" applyNumberFormat="1" applyFont="1" applyFill="1" applyBorder="1" applyAlignment="1" applyProtection="1">
      <alignment horizontal="right"/>
      <protection locked="0"/>
    </xf>
    <xf numFmtId="171" fontId="13" fillId="4" borderId="14" xfId="0" applyNumberFormat="1" applyFont="1" applyFill="1" applyBorder="1" applyAlignment="1" applyProtection="1">
      <alignment horizontal="right"/>
      <protection locked="0"/>
    </xf>
    <xf numFmtId="170" fontId="5" fillId="3" borderId="7" xfId="4" applyNumberFormat="1" applyFont="1" applyBorder="1" applyAlignment="1" applyProtection="1">
      <alignment horizontal="right" vertical="center"/>
    </xf>
    <xf numFmtId="170" fontId="5" fillId="3" borderId="6" xfId="4" applyNumberFormat="1" applyFont="1" applyBorder="1" applyAlignment="1" applyProtection="1">
      <alignment horizontal="right" vertical="center"/>
    </xf>
    <xf numFmtId="170" fontId="5" fillId="3" borderId="8" xfId="4" applyNumberFormat="1" applyFont="1" applyBorder="1" applyAlignment="1" applyProtection="1">
      <alignment horizontal="right" vertical="center"/>
    </xf>
    <xf numFmtId="3" fontId="13" fillId="4" borderId="1" xfId="0" applyNumberFormat="1" applyFont="1" applyFill="1" applyBorder="1" applyProtection="1">
      <protection locked="0"/>
    </xf>
    <xf numFmtId="1" fontId="13" fillId="3" borderId="1" xfId="0" applyNumberFormat="1" applyFont="1" applyFill="1" applyBorder="1" applyProtection="1"/>
    <xf numFmtId="0" fontId="13" fillId="18" borderId="12" xfId="0" applyFont="1" applyFill="1" applyBorder="1" applyProtection="1">
      <protection locked="0"/>
    </xf>
    <xf numFmtId="1" fontId="13" fillId="18" borderId="13" xfId="0" applyNumberFormat="1" applyFont="1" applyFill="1" applyBorder="1" applyProtection="1">
      <protection locked="0"/>
    </xf>
    <xf numFmtId="9" fontId="13" fillId="18" borderId="13" xfId="0" applyNumberFormat="1" applyFont="1" applyFill="1" applyBorder="1" applyProtection="1">
      <protection locked="0"/>
    </xf>
    <xf numFmtId="0" fontId="13" fillId="18" borderId="13" xfId="0" applyFont="1" applyFill="1" applyBorder="1" applyProtection="1">
      <protection locked="0"/>
    </xf>
    <xf numFmtId="0" fontId="0" fillId="18" borderId="12" xfId="0" applyFont="1" applyFill="1" applyBorder="1" applyProtection="1">
      <protection locked="0"/>
    </xf>
    <xf numFmtId="1" fontId="13" fillId="18" borderId="12" xfId="0" applyNumberFormat="1" applyFont="1" applyFill="1" applyBorder="1" applyProtection="1">
      <protection locked="0"/>
    </xf>
    <xf numFmtId="9" fontId="13" fillId="18" borderId="12" xfId="0" applyNumberFormat="1" applyFont="1" applyFill="1" applyBorder="1" applyProtection="1">
      <protection locked="0"/>
    </xf>
    <xf numFmtId="0" fontId="13" fillId="18" borderId="14" xfId="0" applyFont="1" applyFill="1" applyBorder="1" applyProtection="1">
      <protection locked="0"/>
    </xf>
    <xf numFmtId="1" fontId="13" fillId="18" borderId="14" xfId="0" applyNumberFormat="1" applyFont="1" applyFill="1" applyBorder="1" applyProtection="1">
      <protection locked="0"/>
    </xf>
    <xf numFmtId="3" fontId="0" fillId="3" borderId="0" xfId="4" applyFont="1" applyBorder="1" applyAlignment="1" applyProtection="1">
      <alignment horizontal="right"/>
    </xf>
    <xf numFmtId="3" fontId="5" fillId="12" borderId="15" xfId="5" applyFont="1" applyFill="1" applyBorder="1" applyAlignment="1" applyProtection="1">
      <alignment horizontal="right" vertical="center"/>
    </xf>
    <xf numFmtId="3" fontId="0" fillId="3" borderId="4" xfId="4" applyFont="1" applyBorder="1" applyAlignment="1" applyProtection="1">
      <alignment horizontal="right"/>
    </xf>
    <xf numFmtId="3" fontId="5" fillId="12" borderId="5" xfId="5" applyFont="1" applyFill="1" applyBorder="1" applyAlignment="1" applyProtection="1">
      <alignment horizontal="right" vertical="center"/>
    </xf>
    <xf numFmtId="0" fontId="0" fillId="16" borderId="7" xfId="10" applyFont="1" applyFill="1" applyBorder="1" applyAlignment="1" applyProtection="1">
      <alignment horizontal="right" vertical="center"/>
      <protection locked="0"/>
    </xf>
    <xf numFmtId="0" fontId="0" fillId="16" borderId="2" xfId="10" applyFont="1" applyFill="1" applyBorder="1" applyAlignment="1" applyProtection="1">
      <alignment horizontal="right" vertical="center"/>
      <protection locked="0"/>
    </xf>
    <xf numFmtId="0" fontId="5" fillId="16" borderId="0" xfId="10" applyFont="1" applyFill="1" applyBorder="1" applyAlignment="1" applyProtection="1">
      <alignment horizontal="left" vertical="center"/>
      <protection locked="0"/>
    </xf>
    <xf numFmtId="0" fontId="5" fillId="16" borderId="6" xfId="10" applyFont="1" applyFill="1" applyBorder="1" applyAlignment="1" applyProtection="1">
      <alignment horizontal="right" vertical="center"/>
      <protection locked="0"/>
    </xf>
    <xf numFmtId="0" fontId="5" fillId="16" borderId="0" xfId="10" applyFont="1" applyFill="1" applyBorder="1" applyAlignment="1" applyProtection="1">
      <alignment horizontal="right" vertical="center"/>
      <protection locked="0"/>
    </xf>
    <xf numFmtId="0" fontId="0" fillId="16" borderId="6" xfId="10" applyFont="1" applyFill="1" applyBorder="1" applyAlignment="1" applyProtection="1">
      <alignment horizontal="right" vertical="center"/>
      <protection locked="0"/>
    </xf>
    <xf numFmtId="168" fontId="13" fillId="16" borderId="13" xfId="8" applyNumberFormat="1" applyFont="1" applyFill="1" applyBorder="1" applyAlignment="1" applyProtection="1">
      <alignment horizontal="right" vertical="center"/>
      <protection locked="0"/>
    </xf>
    <xf numFmtId="166" fontId="5" fillId="16" borderId="6" xfId="8" applyNumberFormat="1" applyFont="1" applyFill="1" applyBorder="1" applyAlignment="1" applyProtection="1">
      <alignment horizontal="right" vertical="center"/>
      <protection locked="0"/>
    </xf>
    <xf numFmtId="168" fontId="13" fillId="16" borderId="0" xfId="8" applyNumberFormat="1" applyFont="1" applyFill="1" applyBorder="1" applyAlignment="1" applyProtection="1">
      <alignment horizontal="right" vertical="center"/>
      <protection locked="0"/>
    </xf>
    <xf numFmtId="166" fontId="5" fillId="16" borderId="0" xfId="8" applyNumberFormat="1" applyFont="1" applyFill="1" applyBorder="1" applyAlignment="1" applyProtection="1">
      <alignment horizontal="right" vertical="center"/>
      <protection locked="0"/>
    </xf>
    <xf numFmtId="168" fontId="13" fillId="16" borderId="12" xfId="8" applyNumberFormat="1" applyFont="1" applyFill="1" applyBorder="1" applyAlignment="1" applyProtection="1">
      <alignment horizontal="right" vertical="center"/>
      <protection locked="0"/>
    </xf>
    <xf numFmtId="166" fontId="5" fillId="16" borderId="7" xfId="8" applyNumberFormat="1" applyFont="1" applyFill="1" applyBorder="1" applyAlignment="1" applyProtection="1">
      <alignment horizontal="right" vertical="center"/>
      <protection locked="0"/>
    </xf>
    <xf numFmtId="0" fontId="13" fillId="2" borderId="4" xfId="3" applyFont="1" applyBorder="1" applyAlignment="1" applyProtection="1">
      <alignment horizontal="left"/>
    </xf>
    <xf numFmtId="0" fontId="5" fillId="16" borderId="6" xfId="10" applyFont="1" applyFill="1" applyBorder="1" applyAlignment="1" applyProtection="1">
      <alignment horizontal="left" vertical="center"/>
      <protection locked="0"/>
    </xf>
    <xf numFmtId="0" fontId="0" fillId="16" borderId="6" xfId="10" applyFont="1" applyFill="1" applyBorder="1" applyAlignment="1" applyProtection="1">
      <alignment horizontal="left" vertical="center"/>
      <protection locked="0"/>
    </xf>
    <xf numFmtId="9" fontId="5" fillId="16" borderId="0" xfId="13" applyFont="1" applyFill="1" applyBorder="1" applyAlignment="1" applyProtection="1">
      <alignment horizontal="right" vertical="center"/>
      <protection locked="0"/>
    </xf>
    <xf numFmtId="166" fontId="13" fillId="12" borderId="1" xfId="8" applyNumberFormat="1" applyFont="1" applyFill="1" applyBorder="1" applyAlignment="1" applyProtection="1">
      <alignment horizontal="left" vertical="center"/>
    </xf>
    <xf numFmtId="3" fontId="5" fillId="7" borderId="11" xfId="4" applyNumberFormat="1" applyFont="1" applyFill="1" applyBorder="1" applyAlignment="1" applyProtection="1">
      <alignment horizontal="right" vertical="center"/>
    </xf>
    <xf numFmtId="3" fontId="13" fillId="3" borderId="13" xfId="15" applyNumberFormat="1" applyFont="1" applyBorder="1" applyAlignment="1" applyProtection="1">
      <alignment horizontal="right" vertical="center"/>
    </xf>
    <xf numFmtId="3" fontId="13" fillId="3" borderId="12" xfId="15" applyNumberFormat="1" applyFont="1" applyBorder="1" applyAlignment="1" applyProtection="1">
      <alignment horizontal="right" vertical="center"/>
    </xf>
    <xf numFmtId="3" fontId="13" fillId="3" borderId="14" xfId="15" applyNumberFormat="1" applyFont="1" applyBorder="1" applyAlignment="1" applyProtection="1">
      <alignment horizontal="right" vertical="center"/>
    </xf>
    <xf numFmtId="3" fontId="13" fillId="3" borderId="16" xfId="15" applyNumberFormat="1" applyFont="1" applyBorder="1" applyAlignment="1" applyProtection="1">
      <alignment horizontal="right" vertical="center"/>
    </xf>
    <xf numFmtId="165" fontId="13" fillId="3" borderId="13" xfId="15" applyNumberFormat="1" applyFont="1" applyBorder="1" applyAlignment="1" applyProtection="1">
      <alignment horizontal="right" vertical="center"/>
    </xf>
    <xf numFmtId="165" fontId="13" fillId="3" borderId="12" xfId="15" applyNumberFormat="1" applyFont="1" applyBorder="1" applyAlignment="1" applyProtection="1">
      <alignment horizontal="right" vertical="center"/>
    </xf>
    <xf numFmtId="165" fontId="13" fillId="3" borderId="14" xfId="15" applyNumberFormat="1" applyFont="1" applyBorder="1" applyAlignment="1" applyProtection="1">
      <alignment horizontal="right" vertical="center"/>
    </xf>
    <xf numFmtId="166" fontId="13" fillId="12" borderId="11" xfId="8" applyNumberFormat="1" applyFont="1" applyFill="1" applyBorder="1" applyAlignment="1" applyProtection="1">
      <alignment horizontal="left" vertical="center" indent="8"/>
    </xf>
    <xf numFmtId="166" fontId="13" fillId="12" borderId="11" xfId="8" applyNumberFormat="1" applyFont="1" applyFill="1" applyBorder="1" applyAlignment="1" applyProtection="1">
      <alignment horizontal="left" vertical="center" indent="7"/>
    </xf>
    <xf numFmtId="3" fontId="5" fillId="7" borderId="11" xfId="4" applyNumberFormat="1" applyFont="1" applyFill="1" applyBorder="1" applyAlignment="1" applyProtection="1">
      <alignment horizontal="left" vertical="center" indent="8"/>
    </xf>
    <xf numFmtId="3" fontId="0" fillId="3" borderId="1" xfId="20" applyFont="1" applyBorder="1" applyProtection="1">
      <alignment horizontal="right" vertical="center"/>
    </xf>
    <xf numFmtId="3" fontId="19" fillId="0" borderId="0" xfId="20" applyFont="1" applyFill="1" applyBorder="1" applyAlignment="1" applyProtection="1">
      <alignment vertical="center"/>
    </xf>
    <xf numFmtId="171" fontId="0" fillId="17" borderId="14" xfId="0" applyNumberFormat="1" applyFont="1" applyFill="1" applyBorder="1" applyAlignment="1" applyProtection="1">
      <alignment horizontal="right"/>
    </xf>
    <xf numFmtId="3" fontId="5" fillId="3" borderId="11" xfId="4" applyNumberFormat="1" applyFont="1" applyBorder="1" applyAlignment="1" applyProtection="1">
      <alignment horizontal="right"/>
    </xf>
    <xf numFmtId="3" fontId="5" fillId="3" borderId="12" xfId="4" applyNumberFormat="1" applyFont="1" applyBorder="1" applyAlignment="1" applyProtection="1">
      <alignment horizontal="right"/>
    </xf>
    <xf numFmtId="0" fontId="0" fillId="0" borderId="0" xfId="0" applyFont="1" applyAlignment="1">
      <alignment horizontal="left" vertical="center" wrapText="1"/>
    </xf>
    <xf numFmtId="0" fontId="0" fillId="0" borderId="0" xfId="0" applyAlignment="1">
      <alignment vertical="center" wrapText="1"/>
    </xf>
    <xf numFmtId="0" fontId="0" fillId="0" borderId="0" xfId="0" applyFont="1" applyAlignment="1">
      <alignment vertical="center" wrapText="1"/>
    </xf>
    <xf numFmtId="0" fontId="11" fillId="9" borderId="9" xfId="0" applyFont="1" applyFill="1" applyBorder="1" applyAlignment="1">
      <alignment horizontal="left"/>
    </xf>
    <xf numFmtId="0" fontId="11" fillId="9" borderId="10" xfId="0" applyFont="1" applyFill="1" applyBorder="1" applyAlignment="1">
      <alignment horizontal="left"/>
    </xf>
    <xf numFmtId="0" fontId="11" fillId="9" borderId="11" xfId="0" applyFont="1" applyFill="1" applyBorder="1" applyAlignment="1">
      <alignment horizontal="left"/>
    </xf>
    <xf numFmtId="0" fontId="6" fillId="0" borderId="0" xfId="1" quotePrefix="1" applyFont="1" applyFill="1" applyBorder="1" applyAlignment="1" applyProtection="1">
      <alignment horizontal="right" vertical="center" wrapText="1"/>
      <protection locked="0"/>
    </xf>
    <xf numFmtId="0" fontId="11" fillId="9" borderId="10" xfId="0" applyFont="1" applyFill="1" applyBorder="1" applyAlignment="1">
      <alignment horizontal="center"/>
    </xf>
    <xf numFmtId="0" fontId="11" fillId="9" borderId="11" xfId="0" applyFont="1" applyFill="1" applyBorder="1" applyAlignment="1">
      <alignment horizontal="center"/>
    </xf>
    <xf numFmtId="0" fontId="11" fillId="9" borderId="9" xfId="0" applyFont="1" applyFill="1" applyBorder="1" applyAlignment="1">
      <alignment horizontal="center"/>
    </xf>
    <xf numFmtId="0" fontId="6" fillId="0" borderId="0" xfId="1" quotePrefix="1" applyFont="1" applyFill="1" applyBorder="1" applyAlignment="1" applyProtection="1">
      <alignment horizontal="left" vertical="center" wrapText="1"/>
      <protection locked="0"/>
    </xf>
    <xf numFmtId="0" fontId="11" fillId="9" borderId="9" xfId="0" applyFont="1" applyFill="1" applyBorder="1" applyAlignment="1">
      <alignment horizontal="left" wrapText="1"/>
    </xf>
    <xf numFmtId="0" fontId="11" fillId="9" borderId="10" xfId="0" applyFont="1" applyFill="1" applyBorder="1" applyAlignment="1">
      <alignment horizontal="left" wrapText="1"/>
    </xf>
    <xf numFmtId="0" fontId="11" fillId="9" borderId="11" xfId="0" applyFont="1" applyFill="1" applyBorder="1" applyAlignment="1">
      <alignment horizontal="left" wrapText="1"/>
    </xf>
    <xf numFmtId="0" fontId="11" fillId="9" borderId="9" xfId="0" applyFont="1" applyFill="1" applyBorder="1" applyAlignment="1">
      <alignment horizontal="center" vertical="center"/>
    </xf>
    <xf numFmtId="0" fontId="11" fillId="9" borderId="10" xfId="0" applyFont="1" applyFill="1" applyBorder="1" applyAlignment="1">
      <alignment horizontal="center" vertical="center"/>
    </xf>
    <xf numFmtId="0" fontId="11" fillId="9" borderId="11" xfId="0" applyFont="1" applyFill="1" applyBorder="1" applyAlignment="1">
      <alignment horizontal="center" vertical="center"/>
    </xf>
    <xf numFmtId="0" fontId="5" fillId="5" borderId="9" xfId="6" applyFont="1" applyBorder="1" applyAlignment="1" applyProtection="1">
      <alignment horizontal="center"/>
      <protection locked="0"/>
    </xf>
    <xf numFmtId="0" fontId="5" fillId="5" borderId="11" xfId="6" applyFont="1" applyBorder="1" applyAlignment="1" applyProtection="1">
      <alignment horizontal="center"/>
      <protection locked="0"/>
    </xf>
    <xf numFmtId="0" fontId="13" fillId="5" borderId="9" xfId="0" applyFont="1" applyFill="1" applyBorder="1" applyAlignment="1">
      <alignment vertical="center" wrapText="1"/>
    </xf>
    <xf numFmtId="0" fontId="13" fillId="5" borderId="10" xfId="0" applyFont="1" applyFill="1" applyBorder="1" applyAlignment="1">
      <alignment vertical="center" wrapText="1"/>
    </xf>
    <xf numFmtId="0" fontId="13" fillId="5" borderId="14"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1" fillId="10" borderId="9" xfId="0" quotePrefix="1" applyFont="1" applyFill="1" applyBorder="1" applyAlignment="1" applyProtection="1">
      <alignment horizontal="left"/>
      <protection locked="0"/>
    </xf>
    <xf numFmtId="0" fontId="11" fillId="10" borderId="11" xfId="0" quotePrefix="1" applyFont="1" applyFill="1" applyBorder="1" applyAlignment="1" applyProtection="1">
      <alignment horizontal="left"/>
      <protection locked="0"/>
    </xf>
    <xf numFmtId="0" fontId="13" fillId="5" borderId="9" xfId="0" applyFont="1" applyFill="1" applyBorder="1" applyAlignment="1">
      <alignment horizontal="left" vertical="center" wrapText="1"/>
    </xf>
    <xf numFmtId="0" fontId="13" fillId="5" borderId="11" xfId="0" applyFont="1" applyFill="1" applyBorder="1" applyAlignment="1">
      <alignment horizontal="left" vertical="center" wrapText="1"/>
    </xf>
    <xf numFmtId="0" fontId="11" fillId="10" borderId="9" xfId="0" applyFont="1" applyFill="1" applyBorder="1" applyAlignment="1" applyProtection="1">
      <alignment horizontal="left"/>
      <protection locked="0"/>
    </xf>
    <xf numFmtId="0" fontId="11" fillId="10" borderId="10" xfId="0" applyFont="1" applyFill="1" applyBorder="1" applyAlignment="1" applyProtection="1">
      <alignment horizontal="left"/>
      <protection locked="0"/>
    </xf>
    <xf numFmtId="0" fontId="11" fillId="10" borderId="11" xfId="0" applyFont="1" applyFill="1" applyBorder="1" applyAlignment="1" applyProtection="1">
      <alignment horizontal="left"/>
      <protection locked="0"/>
    </xf>
    <xf numFmtId="0" fontId="5" fillId="5" borderId="9" xfId="6" applyFont="1" applyBorder="1" applyAlignment="1" applyProtection="1">
      <alignment horizontal="left"/>
      <protection locked="0"/>
    </xf>
    <xf numFmtId="0" fontId="5" fillId="5" borderId="11" xfId="6" applyFont="1" applyBorder="1" applyAlignment="1" applyProtection="1">
      <alignment horizontal="left"/>
      <protection locked="0"/>
    </xf>
    <xf numFmtId="0" fontId="11" fillId="10" borderId="10" xfId="0" quotePrefix="1" applyFont="1" applyFill="1" applyBorder="1" applyAlignment="1" applyProtection="1">
      <alignment horizontal="left"/>
      <protection locked="0"/>
    </xf>
    <xf numFmtId="0" fontId="0" fillId="15" borderId="9" xfId="0" applyFont="1" applyFill="1" applyBorder="1" applyAlignment="1">
      <alignment horizontal="left"/>
    </xf>
    <xf numFmtId="0" fontId="0" fillId="15" borderId="11" xfId="0" applyFont="1" applyFill="1" applyBorder="1" applyAlignment="1">
      <alignment horizontal="left"/>
    </xf>
    <xf numFmtId="0" fontId="14" fillId="5" borderId="9" xfId="0" applyFont="1" applyFill="1" applyBorder="1" applyAlignment="1">
      <alignment horizontal="center" vertical="center"/>
    </xf>
    <xf numFmtId="0" fontId="14" fillId="5" borderId="10" xfId="0" applyFont="1" applyFill="1" applyBorder="1" applyAlignment="1">
      <alignment horizontal="center" vertical="center"/>
    </xf>
    <xf numFmtId="0" fontId="14" fillId="5" borderId="11" xfId="0" applyFont="1" applyFill="1" applyBorder="1" applyAlignment="1">
      <alignment horizontal="center" vertical="center"/>
    </xf>
    <xf numFmtId="0" fontId="11" fillId="10" borderId="9" xfId="0" quotePrefix="1" applyFont="1" applyFill="1" applyBorder="1" applyAlignment="1" applyProtection="1">
      <alignment horizontal="center"/>
      <protection locked="0"/>
    </xf>
    <xf numFmtId="0" fontId="11" fillId="10" borderId="10" xfId="0" quotePrefix="1" applyFont="1" applyFill="1" applyBorder="1" applyAlignment="1" applyProtection="1">
      <alignment horizontal="center"/>
      <protection locked="0"/>
    </xf>
    <xf numFmtId="0" fontId="11" fillId="10" borderId="11" xfId="0" quotePrefix="1" applyFont="1" applyFill="1" applyBorder="1" applyAlignment="1" applyProtection="1">
      <alignment horizontal="center"/>
      <protection locked="0"/>
    </xf>
    <xf numFmtId="165" fontId="13" fillId="15" borderId="13" xfId="14" applyNumberFormat="1" applyFont="1" applyFill="1" applyBorder="1" applyAlignment="1">
      <alignment horizontal="center" vertical="center"/>
    </xf>
    <xf numFmtId="165" fontId="13" fillId="15" borderId="14" xfId="14" applyNumberFormat="1" applyFont="1" applyFill="1" applyBorder="1" applyAlignment="1">
      <alignment horizontal="center" vertical="center"/>
    </xf>
    <xf numFmtId="0" fontId="13" fillId="15" borderId="13" xfId="12" applyFont="1" applyFill="1" applyBorder="1" applyAlignment="1">
      <alignment horizontal="center" vertical="center"/>
    </xf>
    <xf numFmtId="0" fontId="13" fillId="15" borderId="14" xfId="12" applyFont="1" applyFill="1" applyBorder="1" applyAlignment="1">
      <alignment horizontal="center" vertical="center"/>
    </xf>
    <xf numFmtId="165" fontId="13" fillId="5" borderId="9" xfId="16" applyNumberFormat="1" applyFont="1" applyBorder="1" applyAlignment="1">
      <alignment horizontal="left" vertical="center" wrapText="1"/>
    </xf>
    <xf numFmtId="165" fontId="13" fillId="5" borderId="10" xfId="16" applyNumberFormat="1" applyFont="1" applyBorder="1" applyAlignment="1">
      <alignment horizontal="left" vertical="center" wrapText="1"/>
    </xf>
    <xf numFmtId="165" fontId="13" fillId="5" borderId="11" xfId="16" applyNumberFormat="1" applyFont="1" applyBorder="1" applyAlignment="1">
      <alignment horizontal="left" vertical="center" wrapText="1"/>
    </xf>
    <xf numFmtId="0" fontId="13" fillId="2" borderId="7" xfId="3" applyFont="1" applyBorder="1" applyAlignment="1" applyProtection="1">
      <alignment horizontal="center"/>
      <protection locked="0"/>
    </xf>
    <xf numFmtId="0" fontId="13" fillId="2" borderId="2" xfId="3" applyFont="1" applyBorder="1" applyAlignment="1" applyProtection="1">
      <alignment horizontal="center"/>
      <protection locked="0"/>
    </xf>
    <xf numFmtId="0" fontId="13" fillId="2" borderId="3" xfId="3" applyFont="1" applyBorder="1" applyAlignment="1" applyProtection="1">
      <alignment horizontal="center"/>
      <protection locked="0"/>
    </xf>
    <xf numFmtId="0" fontId="5" fillId="15" borderId="13" xfId="16" applyFont="1" applyFill="1" applyBorder="1" applyAlignment="1">
      <alignment horizontal="center" vertical="center"/>
    </xf>
    <xf numFmtId="0" fontId="5" fillId="15" borderId="14" xfId="16" applyFont="1" applyFill="1" applyBorder="1" applyAlignment="1">
      <alignment horizontal="center" vertical="center"/>
    </xf>
    <xf numFmtId="0" fontId="5" fillId="5" borderId="10" xfId="6" applyFont="1" applyBorder="1" applyAlignment="1" applyProtection="1">
      <alignment horizontal="center"/>
      <protection locked="0"/>
    </xf>
    <xf numFmtId="0" fontId="5" fillId="15" borderId="9" xfId="9" applyFont="1" applyFill="1" applyBorder="1" applyAlignment="1">
      <alignment horizontal="center" vertical="center"/>
    </xf>
    <xf numFmtId="0" fontId="0" fillId="15" borderId="10" xfId="0" applyFont="1" applyFill="1" applyBorder="1" applyAlignment="1">
      <alignment horizontal="center" vertical="center"/>
    </xf>
    <xf numFmtId="0" fontId="0" fillId="15" borderId="11" xfId="0" applyFont="1" applyFill="1" applyBorder="1" applyAlignment="1">
      <alignment horizontal="center" vertical="center"/>
    </xf>
    <xf numFmtId="0" fontId="0" fillId="15" borderId="9" xfId="0" applyFont="1" applyFill="1" applyBorder="1" applyAlignment="1">
      <alignment horizontal="center" vertical="center"/>
    </xf>
    <xf numFmtId="0" fontId="13" fillId="15" borderId="13" xfId="16" applyFont="1" applyFill="1" applyBorder="1" applyAlignment="1">
      <alignment horizontal="center" vertical="center"/>
    </xf>
    <xf numFmtId="0" fontId="13" fillId="15" borderId="14" xfId="16"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5" fillId="0" borderId="13" xfId="9" applyFont="1" applyFill="1" applyBorder="1" applyAlignment="1">
      <alignment horizontal="center" vertical="center" wrapText="1"/>
    </xf>
    <xf numFmtId="0" fontId="5" fillId="0" borderId="12" xfId="9" applyFont="1" applyFill="1" applyBorder="1" applyAlignment="1">
      <alignment horizontal="center" vertical="center" wrapText="1"/>
    </xf>
    <xf numFmtId="0" fontId="5" fillId="0" borderId="14" xfId="9" applyFont="1" applyFill="1" applyBorder="1" applyAlignment="1">
      <alignment horizontal="center" vertical="center" wrapText="1"/>
    </xf>
    <xf numFmtId="0" fontId="13" fillId="15" borderId="7" xfId="12" applyFont="1" applyFill="1" applyBorder="1" applyAlignment="1">
      <alignment horizontal="center" vertical="center"/>
    </xf>
    <xf numFmtId="0" fontId="13" fillId="15" borderId="2" xfId="12" applyFont="1" applyFill="1" applyBorder="1" applyAlignment="1">
      <alignment horizontal="center" vertical="center"/>
    </xf>
    <xf numFmtId="0" fontId="13" fillId="15" borderId="3" xfId="12" applyFont="1" applyFill="1" applyBorder="1" applyAlignment="1">
      <alignment horizontal="center" vertical="center"/>
    </xf>
    <xf numFmtId="0" fontId="13" fillId="15" borderId="8" xfId="12" applyFont="1" applyFill="1" applyBorder="1" applyAlignment="1">
      <alignment horizontal="center" vertical="center"/>
    </xf>
    <xf numFmtId="0" fontId="13" fillId="15" borderId="4" xfId="12" applyFont="1" applyFill="1" applyBorder="1" applyAlignment="1">
      <alignment horizontal="center" vertical="center"/>
    </xf>
    <xf numFmtId="0" fontId="13" fillId="15" borderId="5" xfId="12" applyFont="1" applyFill="1" applyBorder="1" applyAlignment="1">
      <alignment horizontal="center" vertical="center"/>
    </xf>
    <xf numFmtId="165" fontId="13" fillId="5" borderId="7" xfId="16" applyNumberFormat="1" applyFont="1" applyBorder="1" applyAlignment="1">
      <alignment horizontal="left" vertical="center" wrapText="1"/>
    </xf>
    <xf numFmtId="165" fontId="13" fillId="5" borderId="2" xfId="16" applyNumberFormat="1" applyFont="1" applyBorder="1" applyAlignment="1">
      <alignment horizontal="left" vertical="center" wrapText="1"/>
    </xf>
    <xf numFmtId="165" fontId="13" fillId="5" borderId="3" xfId="16" applyNumberFormat="1" applyFont="1" applyBorder="1" applyAlignment="1">
      <alignment horizontal="left" vertical="center" wrapText="1"/>
    </xf>
    <xf numFmtId="0" fontId="13" fillId="15" borderId="9" xfId="12" applyFont="1" applyFill="1" applyBorder="1" applyAlignment="1">
      <alignment horizontal="center" vertical="center"/>
    </xf>
    <xf numFmtId="0" fontId="13" fillId="15" borderId="10" xfId="12" applyFont="1" applyFill="1" applyBorder="1" applyAlignment="1">
      <alignment horizontal="center" vertical="center"/>
    </xf>
    <xf numFmtId="0" fontId="13" fillId="15" borderId="11" xfId="12" applyFont="1" applyFill="1" applyBorder="1" applyAlignment="1">
      <alignment horizontal="center" vertical="center"/>
    </xf>
    <xf numFmtId="165" fontId="13" fillId="15" borderId="9" xfId="16" applyNumberFormat="1" applyFont="1" applyFill="1" applyBorder="1" applyAlignment="1">
      <alignment horizontal="left" vertical="center"/>
    </xf>
    <xf numFmtId="165" fontId="13" fillId="15" borderId="10" xfId="16" applyNumberFormat="1" applyFont="1" applyFill="1" applyBorder="1" applyAlignment="1">
      <alignment horizontal="left" vertical="center"/>
    </xf>
    <xf numFmtId="165" fontId="13" fillId="15" borderId="11" xfId="16" applyNumberFormat="1" applyFont="1" applyFill="1" applyBorder="1" applyAlignment="1">
      <alignment horizontal="left" vertical="center"/>
    </xf>
    <xf numFmtId="165" fontId="13" fillId="15" borderId="7" xfId="16" applyNumberFormat="1" applyFont="1" applyFill="1" applyBorder="1" applyAlignment="1">
      <alignment horizontal="left" vertical="center"/>
    </xf>
    <xf numFmtId="165" fontId="13" fillId="15" borderId="2" xfId="16" applyNumberFormat="1" applyFont="1" applyFill="1" applyBorder="1" applyAlignment="1">
      <alignment horizontal="left" vertical="center"/>
    </xf>
    <xf numFmtId="165" fontId="13" fillId="15" borderId="3" xfId="16" applyNumberFormat="1" applyFont="1" applyFill="1" applyBorder="1" applyAlignment="1">
      <alignment horizontal="left" vertical="center"/>
    </xf>
    <xf numFmtId="165" fontId="13" fillId="15" borderId="6" xfId="16" applyNumberFormat="1" applyFont="1" applyFill="1" applyBorder="1" applyAlignment="1">
      <alignment horizontal="left" vertical="center"/>
    </xf>
    <xf numFmtId="165" fontId="13" fillId="15" borderId="0" xfId="16" applyNumberFormat="1" applyFont="1" applyFill="1" applyBorder="1" applyAlignment="1">
      <alignment horizontal="left" vertical="center"/>
    </xf>
    <xf numFmtId="165" fontId="13" fillId="15" borderId="15" xfId="16" applyNumberFormat="1" applyFont="1" applyFill="1" applyBorder="1" applyAlignment="1">
      <alignment horizontal="left" vertical="center"/>
    </xf>
    <xf numFmtId="0" fontId="0" fillId="0" borderId="3"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5" xfId="0" applyFont="1" applyFill="1" applyBorder="1" applyAlignment="1">
      <alignment horizontal="center" vertical="center" wrapText="1"/>
    </xf>
  </cellXfs>
  <cellStyles count="22">
    <cellStyle name="Hyperlink" xfId="1" builtinId="8"/>
    <cellStyle name="Hyperlink 2" xfId="2"/>
    <cellStyle name="IORP_Empty" xfId="3"/>
    <cellStyle name="IORP_Formula" xfId="4"/>
    <cellStyle name="IORP_Input" xfId="5"/>
    <cellStyle name="IORP_Label" xfId="6"/>
    <cellStyle name="IORP_Result" xfId="7"/>
    <cellStyle name="Millares 11" xfId="8"/>
    <cellStyle name="Normal" xfId="0" builtinId="0"/>
    <cellStyle name="Normal 15" xfId="9"/>
    <cellStyle name="Normal 15 2" xfId="10"/>
    <cellStyle name="Normal 2" xfId="11"/>
    <cellStyle name="Normal 2_draft SPV template" xfId="12"/>
    <cellStyle name="Percent" xfId="13" builtinId="5"/>
    <cellStyle name="Porcentual 8" xfId="14"/>
    <cellStyle name="QIS2CalcCell" xfId="19"/>
    <cellStyle name="QIS2InputCell" xfId="18"/>
    <cellStyle name="QIS5CalcCell" xfId="15"/>
    <cellStyle name="QIS5Header 2" xfId="16"/>
    <cellStyle name="QISP_Formula" xfId="20"/>
    <cellStyle name="QISP_Input" xfId="21"/>
    <cellStyle name="QISP_NotInSet" xfId="17"/>
  </cellStyles>
  <dxfs count="4">
    <dxf>
      <font>
        <color theme="0" tint="-0.14996795556505021"/>
      </font>
    </dxf>
    <dxf>
      <font>
        <color theme="0" tint="-0.14996795556505021"/>
      </font>
    </dxf>
    <dxf>
      <font>
        <strike/>
        <color theme="0" tint="-0.14996795556505021"/>
      </font>
      <fill>
        <patternFill>
          <bgColor theme="0" tint="-0.14996795556505021"/>
        </patternFill>
      </fill>
    </dxf>
    <dxf>
      <font>
        <strike/>
        <color theme="0" tint="-0.14996795556505021"/>
      </font>
      <fill>
        <patternFill>
          <bgColor theme="0" tint="-0.14996795556505021"/>
        </patternFill>
      </fill>
    </dxf>
  </dxfs>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61</xdr:row>
      <xdr:rowOff>0</xdr:rowOff>
    </xdr:from>
    <xdr:to>
      <xdr:col>2</xdr:col>
      <xdr:colOff>266700</xdr:colOff>
      <xdr:row>62</xdr:row>
      <xdr:rowOff>76200</xdr:rowOff>
    </xdr:to>
    <xdr:pic>
      <xdr:nvPicPr>
        <xdr:cNvPr id="9" name="Imagem 8">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9600" y="12611100"/>
          <a:ext cx="264795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51</xdr:row>
      <xdr:rowOff>0</xdr:rowOff>
    </xdr:from>
    <xdr:to>
      <xdr:col>2</xdr:col>
      <xdr:colOff>419100</xdr:colOff>
      <xdr:row>53</xdr:row>
      <xdr:rowOff>0</xdr:rowOff>
    </xdr:to>
    <xdr:pic>
      <xdr:nvPicPr>
        <xdr:cNvPr id="10" name="Imagem 9">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9600" y="9715500"/>
          <a:ext cx="280035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71</xdr:row>
      <xdr:rowOff>0</xdr:rowOff>
    </xdr:from>
    <xdr:to>
      <xdr:col>3</xdr:col>
      <xdr:colOff>333375</xdr:colOff>
      <xdr:row>74</xdr:row>
      <xdr:rowOff>123825</xdr:rowOff>
    </xdr:to>
    <xdr:pic>
      <xdr:nvPicPr>
        <xdr:cNvPr id="11" name="Imagem 10">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9600" y="14897100"/>
          <a:ext cx="366712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87</xdr:row>
      <xdr:rowOff>0</xdr:rowOff>
    </xdr:from>
    <xdr:to>
      <xdr:col>4</xdr:col>
      <xdr:colOff>762000</xdr:colOff>
      <xdr:row>89</xdr:row>
      <xdr:rowOff>76200</xdr:rowOff>
    </xdr:to>
    <xdr:pic>
      <xdr:nvPicPr>
        <xdr:cNvPr id="12" name="Imagem 11">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9600" y="18897600"/>
          <a:ext cx="504825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98</xdr:row>
      <xdr:rowOff>0</xdr:rowOff>
    </xdr:from>
    <xdr:to>
      <xdr:col>1</xdr:col>
      <xdr:colOff>1819275</xdr:colOff>
      <xdr:row>99</xdr:row>
      <xdr:rowOff>66675</xdr:rowOff>
    </xdr:to>
    <xdr:pic>
      <xdr:nvPicPr>
        <xdr:cNvPr id="13" name="Imagem 12">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9600" y="21564600"/>
          <a:ext cx="18192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108</xdr:row>
      <xdr:rowOff>0</xdr:rowOff>
    </xdr:from>
    <xdr:to>
      <xdr:col>2</xdr:col>
      <xdr:colOff>19050</xdr:colOff>
      <xdr:row>109</xdr:row>
      <xdr:rowOff>47625</xdr:rowOff>
    </xdr:to>
    <xdr:pic>
      <xdr:nvPicPr>
        <xdr:cNvPr id="14" name="Imagem 13">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9600" y="24079200"/>
          <a:ext cx="2400300" cy="23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118</xdr:row>
      <xdr:rowOff>0</xdr:rowOff>
    </xdr:from>
    <xdr:to>
      <xdr:col>1</xdr:col>
      <xdr:colOff>2076450</xdr:colOff>
      <xdr:row>120</xdr:row>
      <xdr:rowOff>66675</xdr:rowOff>
    </xdr:to>
    <xdr:pic>
      <xdr:nvPicPr>
        <xdr:cNvPr id="15" name="Imagem 14">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9600" y="26593800"/>
          <a:ext cx="2076450" cy="44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eris/board/scs/psc/pg6/Final%20version%20for%20publication/Equipa/SF/PENS&#213;ES/PG%20IORP%20II/WS2/Docs%20de%20base/EIOPA%202017%20IORPs%20ST/C&#243;pia%20de%20EIOPA-17-283-IORP_ST17_DB_Template-(201705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dex"/>
      <sheetName val="P.Readme"/>
      <sheetName val="Participant"/>
      <sheetName val="Baseline_&amp;_Adverse_Scenario"/>
      <sheetName val="Overview"/>
      <sheetName val="CF_Analysis"/>
      <sheetName val="QQ_Questionnaire"/>
      <sheetName val="Warnings"/>
    </sheetNames>
    <sheetDataSet>
      <sheetData sheetId="0">
        <row r="1">
          <cell r="D1" t="str">
            <v>EIOPA-17-283-IORP_ST17_DB_Template-(20170518)</v>
          </cell>
        </row>
      </sheetData>
      <sheetData sheetId="1" refreshError="1"/>
      <sheetData sheetId="2"/>
      <sheetData sheetId="3"/>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F15"/>
  <sheetViews>
    <sheetView tabSelected="1" workbookViewId="0">
      <selection activeCell="B15" sqref="B15"/>
    </sheetView>
  </sheetViews>
  <sheetFormatPr defaultColWidth="9.140625" defaultRowHeight="15" x14ac:dyDescent="0.25"/>
  <cols>
    <col min="1" max="1" width="9.140625" style="5"/>
    <col min="2" max="2" width="104.28515625" style="5" customWidth="1"/>
    <col min="3" max="3" width="27.140625" style="5" customWidth="1"/>
    <col min="4" max="16384" width="9.140625" style="5"/>
  </cols>
  <sheetData>
    <row r="1" spans="1:6" x14ac:dyDescent="0.25">
      <c r="F1" s="201" t="s">
        <v>0</v>
      </c>
    </row>
    <row r="2" spans="1:6" x14ac:dyDescent="0.25">
      <c r="B2" s="15" t="s">
        <v>1</v>
      </c>
      <c r="C2" s="15" t="s">
        <v>2</v>
      </c>
      <c r="D2" s="15" t="s">
        <v>127</v>
      </c>
      <c r="F2" s="201" t="s">
        <v>0</v>
      </c>
    </row>
    <row r="3" spans="1:6" x14ac:dyDescent="0.25">
      <c r="B3" s="10" t="s">
        <v>3</v>
      </c>
      <c r="C3" s="7" t="s">
        <v>125</v>
      </c>
      <c r="D3" s="291" t="str">
        <f>HYPERLINK("#'"&amp;C3&amp;"'!$a$1",D$2)</f>
        <v>Go To</v>
      </c>
      <c r="F3" s="201" t="s">
        <v>0</v>
      </c>
    </row>
    <row r="4" spans="1:6" x14ac:dyDescent="0.25">
      <c r="B4" s="10" t="s">
        <v>4</v>
      </c>
      <c r="C4" s="7" t="s">
        <v>126</v>
      </c>
      <c r="D4" s="291" t="str">
        <f t="shared" ref="D4:D13" si="0">HYPERLINK("#'"&amp;C4&amp;"'!$a$1",D$2)</f>
        <v>Go To</v>
      </c>
      <c r="F4" s="201" t="s">
        <v>0</v>
      </c>
    </row>
    <row r="5" spans="1:6" x14ac:dyDescent="0.25">
      <c r="B5" s="19" t="s">
        <v>380</v>
      </c>
      <c r="C5" s="20" t="s">
        <v>380</v>
      </c>
      <c r="D5" s="292" t="str">
        <f t="shared" si="0"/>
        <v>Go To</v>
      </c>
      <c r="F5" s="201" t="s">
        <v>0</v>
      </c>
    </row>
    <row r="6" spans="1:6" x14ac:dyDescent="0.25">
      <c r="B6" s="11" t="s">
        <v>128</v>
      </c>
      <c r="C6" s="8" t="s">
        <v>98</v>
      </c>
      <c r="D6" s="293" t="str">
        <f t="shared" si="0"/>
        <v>Go To</v>
      </c>
      <c r="F6" s="201" t="s">
        <v>0</v>
      </c>
    </row>
    <row r="7" spans="1:6" x14ac:dyDescent="0.25">
      <c r="B7" s="11" t="s">
        <v>452</v>
      </c>
      <c r="C7" s="8" t="s">
        <v>324</v>
      </c>
      <c r="D7" s="294" t="str">
        <f>HYPERLINK("#'"&amp;C7&amp;"'!$a$1",D$2)</f>
        <v>Go To</v>
      </c>
      <c r="F7" s="201" t="s">
        <v>0</v>
      </c>
    </row>
    <row r="8" spans="1:6" x14ac:dyDescent="0.25">
      <c r="B8" s="12" t="s">
        <v>129</v>
      </c>
      <c r="C8" s="9" t="s">
        <v>130</v>
      </c>
      <c r="D8" s="543" t="str">
        <f>HYPERLINK("#'"&amp;C8&amp;"'!$Q$2",D$2)</f>
        <v>Go To</v>
      </c>
      <c r="F8" s="201" t="s">
        <v>0</v>
      </c>
    </row>
    <row r="9" spans="1:6" x14ac:dyDescent="0.25">
      <c r="B9" s="13" t="s">
        <v>132</v>
      </c>
      <c r="C9" s="6" t="s">
        <v>27</v>
      </c>
      <c r="D9" s="295" t="str">
        <f t="shared" si="0"/>
        <v>Go To</v>
      </c>
      <c r="F9" s="201" t="s">
        <v>0</v>
      </c>
    </row>
    <row r="10" spans="1:6" x14ac:dyDescent="0.25">
      <c r="B10" s="13" t="s">
        <v>133</v>
      </c>
      <c r="C10" s="6" t="s">
        <v>28</v>
      </c>
      <c r="D10" s="295" t="str">
        <f t="shared" si="0"/>
        <v>Go To</v>
      </c>
      <c r="F10" s="201" t="s">
        <v>0</v>
      </c>
    </row>
    <row r="11" spans="1:6" x14ac:dyDescent="0.25">
      <c r="B11" s="13" t="s">
        <v>134</v>
      </c>
      <c r="C11" s="6" t="s">
        <v>131</v>
      </c>
      <c r="D11" s="295" t="str">
        <f t="shared" si="0"/>
        <v>Go To</v>
      </c>
      <c r="F11" s="201" t="s">
        <v>0</v>
      </c>
    </row>
    <row r="12" spans="1:6" x14ac:dyDescent="0.25">
      <c r="B12" s="13" t="s">
        <v>135</v>
      </c>
      <c r="C12" s="6" t="s">
        <v>29</v>
      </c>
      <c r="D12" s="295" t="str">
        <f t="shared" si="0"/>
        <v>Go To</v>
      </c>
      <c r="F12" s="201" t="s">
        <v>0</v>
      </c>
    </row>
    <row r="13" spans="1:6" x14ac:dyDescent="0.25">
      <c r="B13" s="14" t="s">
        <v>136</v>
      </c>
      <c r="C13" s="14" t="s">
        <v>30</v>
      </c>
      <c r="D13" s="296" t="str">
        <f t="shared" si="0"/>
        <v>Go To</v>
      </c>
      <c r="F13" s="201" t="s">
        <v>0</v>
      </c>
    </row>
    <row r="14" spans="1:6" x14ac:dyDescent="0.25">
      <c r="F14" s="201" t="s">
        <v>0</v>
      </c>
    </row>
    <row r="15" spans="1:6" x14ac:dyDescent="0.25">
      <c r="A15" s="201" t="s">
        <v>0</v>
      </c>
      <c r="B15" s="201" t="s">
        <v>0</v>
      </c>
      <c r="C15" s="201" t="s">
        <v>0</v>
      </c>
      <c r="D15" s="201" t="s">
        <v>0</v>
      </c>
      <c r="E15" s="201" t="s">
        <v>0</v>
      </c>
      <c r="F15" s="201" t="s">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Z33"/>
  <sheetViews>
    <sheetView workbookViewId="0"/>
  </sheetViews>
  <sheetFormatPr defaultColWidth="9.140625" defaultRowHeight="15" x14ac:dyDescent="0.25"/>
  <cols>
    <col min="1" max="1" width="9.140625" style="5"/>
    <col min="2" max="2" width="44.140625" style="5" customWidth="1"/>
    <col min="3" max="24" width="14.28515625" style="5" customWidth="1"/>
    <col min="25" max="16384" width="9.140625" style="5"/>
  </cols>
  <sheetData>
    <row r="1" spans="1:26" x14ac:dyDescent="0.25">
      <c r="Z1" s="188" t="s">
        <v>0</v>
      </c>
    </row>
    <row r="2" spans="1:26" x14ac:dyDescent="0.25">
      <c r="T2" s="285" t="str">
        <f>HYPERLINK("#'Index'!a1","&gt;&gt; go to Index")</f>
        <v>&gt;&gt; go to Index</v>
      </c>
      <c r="Z2" s="188" t="s">
        <v>0</v>
      </c>
    </row>
    <row r="3" spans="1:26" x14ac:dyDescent="0.25">
      <c r="E3" s="473"/>
      <c r="Z3" s="188" t="s">
        <v>0</v>
      </c>
    </row>
    <row r="4" spans="1:26" x14ac:dyDescent="0.25">
      <c r="B4" s="99" t="s">
        <v>502</v>
      </c>
      <c r="C4" s="24"/>
      <c r="D4" s="24"/>
      <c r="E4" s="24"/>
      <c r="F4" s="24"/>
      <c r="G4" s="24"/>
      <c r="H4" s="24"/>
      <c r="I4" s="24"/>
      <c r="J4" s="24"/>
      <c r="K4" s="24"/>
      <c r="L4" s="24"/>
      <c r="M4" s="24"/>
      <c r="N4" s="24"/>
      <c r="O4" s="100"/>
      <c r="P4" s="519"/>
      <c r="Q4" s="519"/>
      <c r="Z4" s="188" t="s">
        <v>0</v>
      </c>
    </row>
    <row r="5" spans="1:26" x14ac:dyDescent="0.25">
      <c r="B5" s="144"/>
      <c r="C5" s="510" t="s">
        <v>387</v>
      </c>
      <c r="D5" s="522" t="s">
        <v>495</v>
      </c>
      <c r="E5" s="425"/>
      <c r="F5" s="425"/>
      <c r="G5" s="425"/>
      <c r="H5" s="425"/>
      <c r="I5" s="510" t="s">
        <v>493</v>
      </c>
      <c r="J5" s="425" t="s">
        <v>494</v>
      </c>
      <c r="K5" s="425"/>
      <c r="L5" s="425"/>
      <c r="M5" s="425"/>
      <c r="N5" s="425"/>
      <c r="O5" s="510" t="s">
        <v>388</v>
      </c>
      <c r="P5" s="521"/>
      <c r="Q5" s="521"/>
      <c r="Z5" s="188" t="s">
        <v>0</v>
      </c>
    </row>
    <row r="6" spans="1:26" x14ac:dyDescent="0.25">
      <c r="B6" s="145"/>
      <c r="C6" s="64"/>
      <c r="D6" s="505" t="s">
        <v>225</v>
      </c>
      <c r="E6" s="505" t="s">
        <v>226</v>
      </c>
      <c r="F6" s="505" t="s">
        <v>496</v>
      </c>
      <c r="G6" s="505" t="s">
        <v>497</v>
      </c>
      <c r="H6" s="505" t="s">
        <v>490</v>
      </c>
      <c r="I6" s="64"/>
      <c r="J6" s="505" t="s">
        <v>225</v>
      </c>
      <c r="K6" s="505" t="s">
        <v>226</v>
      </c>
      <c r="L6" s="505" t="s">
        <v>496</v>
      </c>
      <c r="M6" s="505" t="s">
        <v>497</v>
      </c>
      <c r="N6" s="505" t="s">
        <v>490</v>
      </c>
      <c r="O6" s="64"/>
      <c r="P6" s="338"/>
      <c r="Q6" s="338"/>
      <c r="Z6" s="188" t="s">
        <v>0</v>
      </c>
    </row>
    <row r="7" spans="1:26" x14ac:dyDescent="0.25">
      <c r="B7" s="57"/>
      <c r="C7" s="86"/>
      <c r="D7" s="505" t="s">
        <v>86</v>
      </c>
      <c r="E7" s="505" t="s">
        <v>86</v>
      </c>
      <c r="F7" s="505" t="s">
        <v>489</v>
      </c>
      <c r="G7" s="505"/>
      <c r="H7" s="505" t="s">
        <v>87</v>
      </c>
      <c r="I7" s="64"/>
      <c r="J7" s="505" t="s">
        <v>86</v>
      </c>
      <c r="K7" s="505" t="s">
        <v>86</v>
      </c>
      <c r="L7" s="505" t="s">
        <v>489</v>
      </c>
      <c r="M7" s="505"/>
      <c r="N7" s="505" t="s">
        <v>87</v>
      </c>
      <c r="O7" s="64"/>
      <c r="P7" s="338"/>
      <c r="Q7" s="338"/>
      <c r="Z7" s="188" t="s">
        <v>0</v>
      </c>
    </row>
    <row r="8" spans="1:26" ht="18" x14ac:dyDescent="0.35">
      <c r="B8" s="212" t="s">
        <v>470</v>
      </c>
      <c r="C8" s="633">
        <f>IF('Overview SRA'!$G$18="No",MAX(SUM(C29)-SUM(O29),0),"-")</f>
        <v>0</v>
      </c>
      <c r="D8" s="631">
        <f>IF('Overview SRA'!$G$18="No",MAX(SUM(O8)+SUM(R29)-SUM(R28),0),"-")</f>
        <v>0</v>
      </c>
      <c r="E8" s="632">
        <f>IF('Overview SRA'!$G$18="No",MAX(SUM(O8)+SUM(S29)-SUM(S28),0),"-")</f>
        <v>0</v>
      </c>
      <c r="F8" s="633">
        <f>IF('Overview SRA'!$G$18="No",MAX(SUM(O8)+SUM(E28:F28)-SUM(E29:F29),0),"-")</f>
        <v>0</v>
      </c>
      <c r="G8" s="633">
        <f>IF('Overview SRA'!$G$18="No",MAX(SUM(O8)+SUM(G28)-SUM(G29),0),"-")</f>
        <v>0</v>
      </c>
      <c r="H8" s="633">
        <f>IF('Overview SRA'!$G$18="No",MAX(SUM(O8)+SUM(T29:U29)-SUM(T28:U28),0),"-")</f>
        <v>0</v>
      </c>
      <c r="I8" s="591">
        <f>IF('Overview SRA'!$G$18="No",SUM(C8)-SUM(O8),"-")</f>
        <v>0</v>
      </c>
      <c r="J8" s="633">
        <f>IF('Overview SRA'!$G$18="No",SUM(D8)-SUM($O8),"-")</f>
        <v>0</v>
      </c>
      <c r="K8" s="633">
        <f>IF('Overview SRA'!$G$18="No",SUM(E8)-SUM($O8),"-")</f>
        <v>0</v>
      </c>
      <c r="L8" s="633">
        <f>IF('Overview SRA'!$G$18="No",SUM(F8)-SUM($O8),"-")</f>
        <v>0</v>
      </c>
      <c r="M8" s="633">
        <f>IF('Overview SRA'!$G$18="No",SUM(G8)-SUM($O8),"-")</f>
        <v>0</v>
      </c>
      <c r="N8" s="630">
        <f>IF('Overview SRA'!$G$18="No",SUM(H8)-SUM($O8),"-")</f>
        <v>0</v>
      </c>
      <c r="O8" s="630">
        <f>C14</f>
        <v>0</v>
      </c>
      <c r="P8" s="525"/>
      <c r="Q8" s="525"/>
      <c r="Z8" s="188" t="s">
        <v>0</v>
      </c>
    </row>
    <row r="9" spans="1:26" x14ac:dyDescent="0.25">
      <c r="Z9" s="188" t="s">
        <v>0</v>
      </c>
    </row>
    <row r="10" spans="1:26" x14ac:dyDescent="0.25">
      <c r="Z10" s="188" t="s">
        <v>0</v>
      </c>
    </row>
    <row r="11" spans="1:26" x14ac:dyDescent="0.25">
      <c r="Z11" s="188" t="s">
        <v>0</v>
      </c>
    </row>
    <row r="12" spans="1:26" x14ac:dyDescent="0.25">
      <c r="B12" s="477" t="s">
        <v>501</v>
      </c>
      <c r="C12" s="478"/>
      <c r="Z12" s="188" t="s">
        <v>0</v>
      </c>
    </row>
    <row r="13" spans="1:26" x14ac:dyDescent="0.25">
      <c r="B13" s="51"/>
      <c r="C13" s="427" t="s">
        <v>388</v>
      </c>
      <c r="Z13" s="188" t="s">
        <v>0</v>
      </c>
    </row>
    <row r="14" spans="1:26" x14ac:dyDescent="0.25">
      <c r="A14" s="548" t="s">
        <v>543</v>
      </c>
      <c r="B14" s="419" t="s">
        <v>404</v>
      </c>
      <c r="C14" s="646">
        <f>C15*SUM(C16)</f>
        <v>0</v>
      </c>
      <c r="Z14" s="188" t="s">
        <v>0</v>
      </c>
    </row>
    <row r="15" spans="1:26" x14ac:dyDescent="0.25">
      <c r="B15" s="211" t="s">
        <v>231</v>
      </c>
      <c r="C15" s="734">
        <v>0.8</v>
      </c>
      <c r="Z15" s="188" t="s">
        <v>0</v>
      </c>
    </row>
    <row r="16" spans="1:26" ht="18" x14ac:dyDescent="0.35">
      <c r="B16" s="190" t="s">
        <v>444</v>
      </c>
      <c r="C16" s="222" t="s">
        <v>5</v>
      </c>
      <c r="Z16" s="188" t="s">
        <v>0</v>
      </c>
    </row>
    <row r="17" spans="2:26" x14ac:dyDescent="0.25">
      <c r="Z17" s="188" t="s">
        <v>0</v>
      </c>
    </row>
    <row r="18" spans="2:26" x14ac:dyDescent="0.25">
      <c r="Z18" s="188" t="s">
        <v>0</v>
      </c>
    </row>
    <row r="19" spans="2:26" x14ac:dyDescent="0.25">
      <c r="Z19" s="188" t="s">
        <v>0</v>
      </c>
    </row>
    <row r="20" spans="2:26" x14ac:dyDescent="0.25">
      <c r="B20" s="554" t="s">
        <v>500</v>
      </c>
      <c r="C20" s="555"/>
      <c r="D20" s="555"/>
      <c r="E20" s="555"/>
      <c r="F20" s="555"/>
      <c r="G20" s="555"/>
      <c r="H20" s="555"/>
      <c r="I20" s="555"/>
      <c r="J20" s="555"/>
      <c r="K20" s="555"/>
      <c r="L20" s="555"/>
      <c r="M20" s="555"/>
      <c r="N20" s="555"/>
      <c r="O20" s="555"/>
      <c r="P20" s="555"/>
      <c r="Q20" s="555"/>
      <c r="R20" s="555"/>
      <c r="S20" s="555"/>
      <c r="T20" s="555"/>
      <c r="U20" s="555"/>
      <c r="V20" s="555"/>
      <c r="W20" s="555"/>
      <c r="X20" s="556"/>
      <c r="Z20" s="188" t="s">
        <v>0</v>
      </c>
    </row>
    <row r="21" spans="2:26" x14ac:dyDescent="0.25">
      <c r="B21" s="209" t="s">
        <v>569</v>
      </c>
      <c r="C21" s="639">
        <f>IF('Overview SRA'!$G$18="No",SUM(C14),"-")</f>
        <v>0</v>
      </c>
      <c r="D21" s="629" t="str">
        <f>IF('Overview SRA'!$G$18="No",IF(OR(SUM(C22)&lt;SUM(C21)-0.5,SUM(C22)&gt;SUM(C21)+0.5),"ALERT: Implemented shock deviates from prescribed shock!",""),"")</f>
        <v/>
      </c>
      <c r="E21" s="519"/>
      <c r="F21" s="519"/>
      <c r="G21" s="519"/>
      <c r="H21" s="519"/>
      <c r="I21" s="519"/>
      <c r="J21" s="519"/>
      <c r="K21" s="519"/>
      <c r="L21" s="519"/>
      <c r="M21" s="519"/>
      <c r="N21" s="519"/>
      <c r="O21" s="519"/>
      <c r="P21" s="519"/>
      <c r="Q21" s="519"/>
      <c r="R21" s="519"/>
      <c r="S21" s="519"/>
      <c r="T21" s="519"/>
      <c r="U21" s="519"/>
      <c r="V21" s="519"/>
      <c r="W21" s="519"/>
      <c r="X21" s="519"/>
      <c r="Z21" s="188"/>
    </row>
    <row r="22" spans="2:26" x14ac:dyDescent="0.25">
      <c r="B22" s="211" t="s">
        <v>570</v>
      </c>
      <c r="C22" s="637">
        <f>IF('Overview SRA'!$G$18="No",MAX(SUM(C28)-SUM(O28),0),"-")</f>
        <v>0</v>
      </c>
      <c r="D22" s="256"/>
      <c r="E22" s="256"/>
      <c r="F22" s="256"/>
      <c r="G22" s="256"/>
      <c r="H22" s="256"/>
      <c r="I22" s="256"/>
      <c r="J22" s="256"/>
      <c r="K22" s="256"/>
      <c r="L22" s="256"/>
      <c r="M22" s="256"/>
      <c r="N22" s="256"/>
      <c r="O22" s="256"/>
      <c r="P22" s="256"/>
      <c r="Q22" s="256"/>
      <c r="R22" s="256"/>
      <c r="S22" s="256"/>
      <c r="T22" s="256"/>
      <c r="U22" s="256"/>
      <c r="V22" s="256"/>
      <c r="W22" s="256"/>
      <c r="X22" s="256"/>
      <c r="Z22" s="188" t="s">
        <v>0</v>
      </c>
    </row>
    <row r="23" spans="2:26" x14ac:dyDescent="0.25">
      <c r="B23" s="474"/>
      <c r="C23" s="475" t="s">
        <v>68</v>
      </c>
      <c r="D23" s="475"/>
      <c r="E23" s="475" t="s">
        <v>223</v>
      </c>
      <c r="F23" s="475"/>
      <c r="G23" s="475"/>
      <c r="H23" s="475"/>
      <c r="I23" s="475"/>
      <c r="J23" s="475"/>
      <c r="K23" s="475"/>
      <c r="L23" s="475"/>
      <c r="M23" s="475"/>
      <c r="N23" s="475"/>
      <c r="O23" s="475" t="s">
        <v>224</v>
      </c>
      <c r="P23" s="475"/>
      <c r="Q23" s="475"/>
      <c r="R23" s="475"/>
      <c r="S23" s="475"/>
      <c r="T23" s="475"/>
      <c r="U23" s="475"/>
      <c r="V23" s="475"/>
      <c r="W23" s="475"/>
      <c r="X23" s="566"/>
      <c r="Z23" s="188" t="s">
        <v>0</v>
      </c>
    </row>
    <row r="24" spans="2:26" x14ac:dyDescent="0.25">
      <c r="B24" s="134"/>
      <c r="C24" s="74" t="s">
        <v>69</v>
      </c>
      <c r="D24" s="74" t="s">
        <v>98</v>
      </c>
      <c r="E24" s="754" t="s">
        <v>82</v>
      </c>
      <c r="F24" s="755"/>
      <c r="G24" s="158" t="s">
        <v>65</v>
      </c>
      <c r="H24" s="159" t="s">
        <v>72</v>
      </c>
      <c r="I24" s="159" t="s">
        <v>75</v>
      </c>
      <c r="J24" s="159" t="s">
        <v>80</v>
      </c>
      <c r="K24" s="159" t="s">
        <v>78</v>
      </c>
      <c r="L24" s="160" t="s">
        <v>8</v>
      </c>
      <c r="M24" s="74" t="s">
        <v>83</v>
      </c>
      <c r="N24" s="33"/>
      <c r="O24" s="74" t="s">
        <v>69</v>
      </c>
      <c r="P24" s="74" t="s">
        <v>14</v>
      </c>
      <c r="Q24" s="480" t="s">
        <v>105</v>
      </c>
      <c r="R24" s="483"/>
      <c r="S24" s="483"/>
      <c r="T24" s="483"/>
      <c r="U24" s="484"/>
      <c r="V24" s="74" t="s">
        <v>92</v>
      </c>
      <c r="W24" s="159" t="s">
        <v>93</v>
      </c>
      <c r="X24" s="160" t="s">
        <v>94</v>
      </c>
      <c r="Z24" s="188" t="s">
        <v>0</v>
      </c>
    </row>
    <row r="25" spans="2:26" x14ac:dyDescent="0.25">
      <c r="B25" s="137"/>
      <c r="C25" s="75" t="s">
        <v>70</v>
      </c>
      <c r="D25" s="157" t="s">
        <v>99</v>
      </c>
      <c r="E25" s="161" t="s">
        <v>62</v>
      </c>
      <c r="F25" s="162" t="s">
        <v>64</v>
      </c>
      <c r="G25" s="163" t="s">
        <v>66</v>
      </c>
      <c r="H25" s="164" t="s">
        <v>73</v>
      </c>
      <c r="I25" s="164" t="s">
        <v>76</v>
      </c>
      <c r="J25" s="164" t="s">
        <v>81</v>
      </c>
      <c r="K25" s="164" t="s">
        <v>79</v>
      </c>
      <c r="L25" s="165"/>
      <c r="M25" s="75" t="s">
        <v>85</v>
      </c>
      <c r="N25" s="130"/>
      <c r="O25" s="75" t="s">
        <v>70</v>
      </c>
      <c r="P25" s="75"/>
      <c r="Q25" s="161" t="s">
        <v>84</v>
      </c>
      <c r="R25" s="172" t="s">
        <v>225</v>
      </c>
      <c r="S25" s="172" t="s">
        <v>226</v>
      </c>
      <c r="T25" s="172" t="s">
        <v>97</v>
      </c>
      <c r="U25" s="162" t="s">
        <v>89</v>
      </c>
      <c r="V25" s="75" t="s">
        <v>71</v>
      </c>
      <c r="W25" s="164" t="s">
        <v>71</v>
      </c>
      <c r="X25" s="165" t="s">
        <v>71</v>
      </c>
      <c r="Z25" s="188" t="s">
        <v>0</v>
      </c>
    </row>
    <row r="26" spans="2:26" x14ac:dyDescent="0.25">
      <c r="B26" s="137"/>
      <c r="C26" s="75" t="s">
        <v>71</v>
      </c>
      <c r="D26" s="75" t="s">
        <v>100</v>
      </c>
      <c r="E26" s="161" t="s">
        <v>63</v>
      </c>
      <c r="F26" s="162" t="s">
        <v>63</v>
      </c>
      <c r="G26" s="163" t="s">
        <v>67</v>
      </c>
      <c r="H26" s="164" t="s">
        <v>74</v>
      </c>
      <c r="I26" s="164" t="s">
        <v>77</v>
      </c>
      <c r="J26" s="164"/>
      <c r="K26" s="164"/>
      <c r="L26" s="165"/>
      <c r="M26" s="75"/>
      <c r="N26" s="130"/>
      <c r="O26" s="75" t="s">
        <v>71</v>
      </c>
      <c r="P26" s="75"/>
      <c r="Q26" s="161" t="s">
        <v>86</v>
      </c>
      <c r="R26" s="172" t="s">
        <v>86</v>
      </c>
      <c r="S26" s="172" t="s">
        <v>86</v>
      </c>
      <c r="T26" s="172" t="s">
        <v>88</v>
      </c>
      <c r="U26" s="162" t="s">
        <v>90</v>
      </c>
      <c r="V26" s="75"/>
      <c r="W26" s="164"/>
      <c r="X26" s="165"/>
      <c r="Z26" s="188" t="s">
        <v>0</v>
      </c>
    </row>
    <row r="27" spans="2:26" x14ac:dyDescent="0.25">
      <c r="B27" s="139"/>
      <c r="C27" s="76"/>
      <c r="D27" s="76" t="s">
        <v>101</v>
      </c>
      <c r="E27" s="163"/>
      <c r="F27" s="165"/>
      <c r="G27" s="163"/>
      <c r="H27" s="164"/>
      <c r="I27" s="164"/>
      <c r="J27" s="164"/>
      <c r="K27" s="164"/>
      <c r="L27" s="165"/>
      <c r="M27" s="76"/>
      <c r="N27" s="130"/>
      <c r="O27" s="76"/>
      <c r="P27" s="76"/>
      <c r="Q27" s="161"/>
      <c r="R27" s="172"/>
      <c r="S27" s="172"/>
      <c r="T27" s="172" t="s">
        <v>87</v>
      </c>
      <c r="U27" s="162" t="s">
        <v>91</v>
      </c>
      <c r="V27" s="76"/>
      <c r="W27" s="167"/>
      <c r="X27" s="55"/>
      <c r="Z27" s="188" t="s">
        <v>0</v>
      </c>
    </row>
    <row r="28" spans="2:26" x14ac:dyDescent="0.25">
      <c r="B28" s="223" t="s">
        <v>29</v>
      </c>
      <c r="C28" s="590">
        <f>SUM('Balance sheet'!$F$8)</f>
        <v>0</v>
      </c>
      <c r="D28" s="145" t="s">
        <v>95</v>
      </c>
      <c r="E28" s="460" t="s">
        <v>5</v>
      </c>
      <c r="F28" s="462" t="s">
        <v>5</v>
      </c>
      <c r="G28" s="460" t="s">
        <v>5</v>
      </c>
      <c r="H28" s="462" t="s">
        <v>5</v>
      </c>
      <c r="I28" s="462" t="s">
        <v>5</v>
      </c>
      <c r="J28" s="462" t="s">
        <v>5</v>
      </c>
      <c r="K28" s="462" t="s">
        <v>5</v>
      </c>
      <c r="L28" s="465" t="s">
        <v>5</v>
      </c>
      <c r="M28" s="636">
        <f>SUM(E28:L28)</f>
        <v>0</v>
      </c>
      <c r="N28" s="130"/>
      <c r="O28" s="590">
        <f>IF(M28&gt;0,SUM(M28)-SUM(P28:X28),C28)</f>
        <v>0</v>
      </c>
      <c r="P28" s="628">
        <f>SUM('Balance sheet'!$F$11)</f>
        <v>0</v>
      </c>
      <c r="Q28" s="460" t="s">
        <v>5</v>
      </c>
      <c r="R28" s="66" t="s">
        <v>5</v>
      </c>
      <c r="S28" s="66" t="s">
        <v>5</v>
      </c>
      <c r="T28" s="66" t="s">
        <v>5</v>
      </c>
      <c r="U28" s="67" t="s">
        <v>5</v>
      </c>
      <c r="V28" s="639">
        <f>SUM(J28)</f>
        <v>0</v>
      </c>
      <c r="W28" s="170" t="s">
        <v>5</v>
      </c>
      <c r="X28" s="169" t="s">
        <v>5</v>
      </c>
      <c r="Z28" s="188" t="s">
        <v>0</v>
      </c>
    </row>
    <row r="29" spans="2:26" x14ac:dyDescent="0.25">
      <c r="B29" s="139"/>
      <c r="C29" s="626">
        <f>SUM('Balance sheet'!$F$8)</f>
        <v>0</v>
      </c>
      <c r="D29" s="57" t="s">
        <v>96</v>
      </c>
      <c r="E29" s="459" t="s">
        <v>5</v>
      </c>
      <c r="F29" s="340" t="s">
        <v>5</v>
      </c>
      <c r="G29" s="459" t="s">
        <v>5</v>
      </c>
      <c r="H29" s="340" t="s">
        <v>5</v>
      </c>
      <c r="I29" s="340" t="s">
        <v>5</v>
      </c>
      <c r="J29" s="340" t="s">
        <v>5</v>
      </c>
      <c r="K29" s="340" t="s">
        <v>5</v>
      </c>
      <c r="L29" s="464" t="s">
        <v>5</v>
      </c>
      <c r="M29" s="637">
        <f>SUM(E29:L29)</f>
        <v>0</v>
      </c>
      <c r="N29" s="34"/>
      <c r="O29" s="626">
        <f>IF(M29&gt;0,SUM(M29)-SUM(P29:X29),C29)</f>
        <v>0</v>
      </c>
      <c r="P29" s="638">
        <f>SUM('Balance sheet'!$F$11)</f>
        <v>0</v>
      </c>
      <c r="Q29" s="466" t="s">
        <v>5</v>
      </c>
      <c r="R29" s="69" t="s">
        <v>5</v>
      </c>
      <c r="S29" s="69" t="s">
        <v>5</v>
      </c>
      <c r="T29" s="69" t="s">
        <v>5</v>
      </c>
      <c r="U29" s="70" t="s">
        <v>5</v>
      </c>
      <c r="V29" s="637">
        <f>SUM(J29)</f>
        <v>0</v>
      </c>
      <c r="W29" s="69" t="s">
        <v>5</v>
      </c>
      <c r="X29" s="70" t="s">
        <v>5</v>
      </c>
      <c r="Z29" s="188" t="s">
        <v>0</v>
      </c>
    </row>
    <row r="30" spans="2:26" x14ac:dyDescent="0.25">
      <c r="E30" s="473"/>
      <c r="Z30" s="188" t="s">
        <v>0</v>
      </c>
    </row>
    <row r="31" spans="2:26" x14ac:dyDescent="0.25">
      <c r="D31" s="518"/>
      <c r="E31" s="338"/>
      <c r="Z31" s="188" t="s">
        <v>0</v>
      </c>
    </row>
    <row r="32" spans="2:26" x14ac:dyDescent="0.25">
      <c r="Z32" s="188" t="s">
        <v>0</v>
      </c>
    </row>
    <row r="33" spans="1:26" x14ac:dyDescent="0.25">
      <c r="A33" s="188" t="s">
        <v>0</v>
      </c>
      <c r="B33" s="188" t="s">
        <v>0</v>
      </c>
      <c r="C33" s="188" t="s">
        <v>0</v>
      </c>
      <c r="D33" s="188" t="s">
        <v>0</v>
      </c>
      <c r="E33" s="188" t="s">
        <v>0</v>
      </c>
      <c r="F33" s="188" t="s">
        <v>0</v>
      </c>
      <c r="G33" s="188" t="s">
        <v>0</v>
      </c>
      <c r="H33" s="188" t="s">
        <v>0</v>
      </c>
      <c r="I33" s="188" t="s">
        <v>0</v>
      </c>
      <c r="J33" s="188" t="s">
        <v>0</v>
      </c>
      <c r="K33" s="188" t="s">
        <v>0</v>
      </c>
      <c r="L33" s="188" t="s">
        <v>0</v>
      </c>
      <c r="M33" s="188" t="s">
        <v>0</v>
      </c>
      <c r="N33" s="188" t="s">
        <v>0</v>
      </c>
      <c r="O33" s="188" t="s">
        <v>0</v>
      </c>
      <c r="P33" s="188" t="s">
        <v>0</v>
      </c>
      <c r="Q33" s="188" t="s">
        <v>0</v>
      </c>
      <c r="R33" s="188" t="s">
        <v>0</v>
      </c>
      <c r="S33" s="188" t="s">
        <v>0</v>
      </c>
      <c r="T33" s="188" t="s">
        <v>0</v>
      </c>
      <c r="U33" s="188" t="s">
        <v>0</v>
      </c>
      <c r="V33" s="188" t="s">
        <v>0</v>
      </c>
      <c r="W33" s="188" t="s">
        <v>0</v>
      </c>
      <c r="X33" s="188" t="s">
        <v>0</v>
      </c>
      <c r="Y33" s="188" t="s">
        <v>0</v>
      </c>
      <c r="Z33" s="188" t="s">
        <v>0</v>
      </c>
    </row>
  </sheetData>
  <mergeCells count="1">
    <mergeCell ref="E24:F24"/>
  </mergeCells>
  <dataValidations count="1">
    <dataValidation type="decimal" operator="lessThanOrEqual" allowBlank="1" showInputMessage="1" showErrorMessage="1" errorTitle="Non-negative input" error="Adjustment needs to have negative value" prompt="Please enter a negative value, if relevant" sqref="F23:L27 T28:U29">
      <formula1>0</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Z40"/>
  <sheetViews>
    <sheetView workbookViewId="0">
      <selection activeCell="A2" sqref="A2"/>
    </sheetView>
  </sheetViews>
  <sheetFormatPr defaultColWidth="9.140625" defaultRowHeight="15" x14ac:dyDescent="0.25"/>
  <cols>
    <col min="1" max="1" width="9.140625" style="5"/>
    <col min="2" max="2" width="78.5703125" style="5" customWidth="1"/>
    <col min="3" max="24" width="14.28515625" style="5" customWidth="1"/>
    <col min="25" max="16384" width="9.140625" style="5"/>
  </cols>
  <sheetData>
    <row r="1" spans="1:26" x14ac:dyDescent="0.25">
      <c r="Z1" s="188" t="s">
        <v>0</v>
      </c>
    </row>
    <row r="2" spans="1:26" x14ac:dyDescent="0.25">
      <c r="T2" s="285" t="str">
        <f>HYPERLINK("#'Index'!a1","&gt;&gt; go to Index")</f>
        <v>&gt;&gt; go to Index</v>
      </c>
      <c r="Z2" s="188" t="s">
        <v>0</v>
      </c>
    </row>
    <row r="3" spans="1:26" x14ac:dyDescent="0.25">
      <c r="E3" s="473"/>
      <c r="Z3" s="188" t="s">
        <v>0</v>
      </c>
    </row>
    <row r="4" spans="1:26" x14ac:dyDescent="0.25">
      <c r="B4" s="99" t="s">
        <v>504</v>
      </c>
      <c r="C4" s="24"/>
      <c r="D4" s="24"/>
      <c r="E4" s="24"/>
      <c r="F4" s="24"/>
      <c r="G4" s="24"/>
      <c r="H4" s="24"/>
      <c r="I4" s="24"/>
      <c r="J4" s="24"/>
      <c r="K4" s="24"/>
      <c r="L4" s="24"/>
      <c r="M4" s="24"/>
      <c r="N4" s="24"/>
      <c r="O4" s="100"/>
      <c r="Z4" s="188" t="s">
        <v>0</v>
      </c>
    </row>
    <row r="5" spans="1:26" x14ac:dyDescent="0.25">
      <c r="B5" s="144"/>
      <c r="C5" s="510" t="s">
        <v>387</v>
      </c>
      <c r="D5" s="522" t="s">
        <v>495</v>
      </c>
      <c r="E5" s="425"/>
      <c r="F5" s="425"/>
      <c r="G5" s="425"/>
      <c r="H5" s="425"/>
      <c r="I5" s="510" t="s">
        <v>493</v>
      </c>
      <c r="J5" s="425" t="s">
        <v>494</v>
      </c>
      <c r="K5" s="425"/>
      <c r="L5" s="425"/>
      <c r="M5" s="425"/>
      <c r="N5" s="425"/>
      <c r="O5" s="510" t="s">
        <v>388</v>
      </c>
      <c r="Z5" s="188" t="s">
        <v>0</v>
      </c>
    </row>
    <row r="6" spans="1:26" x14ac:dyDescent="0.25">
      <c r="B6" s="145"/>
      <c r="C6" s="64"/>
      <c r="D6" s="505" t="s">
        <v>225</v>
      </c>
      <c r="E6" s="505" t="s">
        <v>226</v>
      </c>
      <c r="F6" s="505" t="s">
        <v>496</v>
      </c>
      <c r="G6" s="505" t="s">
        <v>497</v>
      </c>
      <c r="H6" s="505" t="s">
        <v>490</v>
      </c>
      <c r="I6" s="64"/>
      <c r="J6" s="505" t="s">
        <v>225</v>
      </c>
      <c r="K6" s="505" t="s">
        <v>226</v>
      </c>
      <c r="L6" s="505" t="s">
        <v>496</v>
      </c>
      <c r="M6" s="505" t="s">
        <v>497</v>
      </c>
      <c r="N6" s="505" t="s">
        <v>490</v>
      </c>
      <c r="O6" s="64"/>
      <c r="Z6" s="188" t="s">
        <v>0</v>
      </c>
    </row>
    <row r="7" spans="1:26" x14ac:dyDescent="0.25">
      <c r="B7" s="57"/>
      <c r="C7" s="64"/>
      <c r="D7" s="505" t="s">
        <v>86</v>
      </c>
      <c r="E7" s="505" t="s">
        <v>86</v>
      </c>
      <c r="F7" s="505" t="s">
        <v>489</v>
      </c>
      <c r="G7" s="505"/>
      <c r="H7" s="505" t="s">
        <v>87</v>
      </c>
      <c r="I7" s="64"/>
      <c r="J7" s="505" t="s">
        <v>86</v>
      </c>
      <c r="K7" s="505" t="s">
        <v>86</v>
      </c>
      <c r="L7" s="505" t="s">
        <v>489</v>
      </c>
      <c r="M7" s="505"/>
      <c r="N7" s="505" t="s">
        <v>87</v>
      </c>
      <c r="O7" s="64"/>
      <c r="Z7" s="188" t="s">
        <v>0</v>
      </c>
    </row>
    <row r="8" spans="1:26" ht="18" x14ac:dyDescent="0.35">
      <c r="B8" s="419" t="s">
        <v>470</v>
      </c>
      <c r="C8" s="635">
        <f>IF('Overview SRA'!$G$18="No",MAX(SUM(C36)-SUM(O36),0),"-")</f>
        <v>0</v>
      </c>
      <c r="D8" s="633">
        <f>IF('Overview SRA'!$G$18="No",MAX(SUM(O8)+SUM(R36)-SUM(R35),0),"-")</f>
        <v>0</v>
      </c>
      <c r="E8" s="632">
        <f>IF('Overview SRA'!$G$18="No",MAX(SUM(O8)+SUM(S36)-SUM(S35),0),"-")</f>
        <v>0</v>
      </c>
      <c r="F8" s="633">
        <f>IF('Overview SRA'!$G$18="No",MAX(SUM(O8)+SUM(E35:F35)-SUM(E36:F36),0),"-")</f>
        <v>0</v>
      </c>
      <c r="G8" s="633">
        <f>IF('Overview SRA'!$G$18="No",MAX(SUM(O8)+SUM(G35)-SUM(G36),0),"-")</f>
        <v>0</v>
      </c>
      <c r="H8" s="633">
        <f>IF('Overview SRA'!$G$18="No",MAX(SUM(O8)+SUM(T36:U36)-SUM(T35:U35),0),"-")</f>
        <v>0</v>
      </c>
      <c r="I8" s="591">
        <f>IF('Overview SRA'!$G$18="No",SUM(C8)-SUM(O8),"-")</f>
        <v>0</v>
      </c>
      <c r="J8" s="633">
        <f>IF('Overview SRA'!$G$18="No",SUM(D8)-SUM($O8),"-")</f>
        <v>0</v>
      </c>
      <c r="K8" s="633">
        <f>IF('Overview SRA'!$G$18="No",SUM(E8)-SUM($O8),"-")</f>
        <v>0</v>
      </c>
      <c r="L8" s="633">
        <f>IF('Overview SRA'!$G$18="No",SUM(F8)-SUM($O8),"-")</f>
        <v>0</v>
      </c>
      <c r="M8" s="633">
        <f>IF('Overview SRA'!$G$18="No",SUM(G8)-SUM($O8),"-")</f>
        <v>0</v>
      </c>
      <c r="N8" s="630">
        <f>IF('Overview SRA'!$G$18="No",SUM(H8)-SUM($O8),"-")</f>
        <v>0</v>
      </c>
      <c r="O8" s="735">
        <f>C14</f>
        <v>0</v>
      </c>
      <c r="Z8" s="188" t="s">
        <v>0</v>
      </c>
    </row>
    <row r="9" spans="1:26" x14ac:dyDescent="0.25">
      <c r="E9" s="473"/>
      <c r="Z9" s="188" t="s">
        <v>0</v>
      </c>
    </row>
    <row r="10" spans="1:26" x14ac:dyDescent="0.25">
      <c r="E10" s="473"/>
      <c r="Z10" s="188" t="s">
        <v>0</v>
      </c>
    </row>
    <row r="11" spans="1:26" x14ac:dyDescent="0.25">
      <c r="Z11" s="188" t="s">
        <v>0</v>
      </c>
    </row>
    <row r="12" spans="1:26" x14ac:dyDescent="0.25">
      <c r="B12" s="477" t="s">
        <v>503</v>
      </c>
      <c r="C12" s="478"/>
      <c r="D12" s="519"/>
      <c r="E12" s="519"/>
      <c r="Z12" s="188" t="s">
        <v>0</v>
      </c>
    </row>
    <row r="13" spans="1:26" x14ac:dyDescent="0.25">
      <c r="B13" s="51"/>
      <c r="C13" s="427" t="s">
        <v>388</v>
      </c>
      <c r="D13" s="521"/>
      <c r="E13" s="524"/>
      <c r="Z13" s="188" t="s">
        <v>0</v>
      </c>
    </row>
    <row r="14" spans="1:26" x14ac:dyDescent="0.25">
      <c r="A14" s="548" t="s">
        <v>544</v>
      </c>
      <c r="B14" s="419" t="s">
        <v>404</v>
      </c>
      <c r="C14" s="646">
        <f>MIN(30%*SUM('Overview SRA'!C9),MAX(SUM(C15),SUM(C20)))+25%*SUM(C23)</f>
        <v>0</v>
      </c>
      <c r="D14" s="525"/>
      <c r="E14" s="525"/>
      <c r="Z14" s="188" t="s">
        <v>0</v>
      </c>
    </row>
    <row r="15" spans="1:26" ht="18" x14ac:dyDescent="0.35">
      <c r="A15" s="548" t="s">
        <v>547</v>
      </c>
      <c r="B15" s="190" t="s">
        <v>435</v>
      </c>
      <c r="C15" s="736">
        <f>0.04*(SUM(C18)-SUM(C19))+MAX(0,0.04*(SUM(C18)-1.2*SUM(C16)-(SUM(C19)-1.2*SUM(C17))))</f>
        <v>0</v>
      </c>
      <c r="D15" s="414"/>
      <c r="E15" s="338"/>
      <c r="Z15" s="188" t="s">
        <v>0</v>
      </c>
    </row>
    <row r="16" spans="1:26" ht="18" x14ac:dyDescent="0.35">
      <c r="B16" s="304" t="s">
        <v>440</v>
      </c>
      <c r="C16" s="205" t="s">
        <v>5</v>
      </c>
      <c r="D16" s="526"/>
      <c r="E16" s="338"/>
      <c r="Z16" s="188" t="s">
        <v>0</v>
      </c>
    </row>
    <row r="17" spans="1:26" ht="18" x14ac:dyDescent="0.35">
      <c r="B17" s="409" t="s">
        <v>441</v>
      </c>
      <c r="C17" s="206" t="s">
        <v>5</v>
      </c>
      <c r="D17" s="526"/>
      <c r="E17" s="338"/>
      <c r="Z17" s="188" t="s">
        <v>0</v>
      </c>
    </row>
    <row r="18" spans="1:26" ht="18" x14ac:dyDescent="0.35">
      <c r="B18" s="304" t="s">
        <v>438</v>
      </c>
      <c r="C18" s="206" t="s">
        <v>5</v>
      </c>
      <c r="D18" s="526"/>
      <c r="E18" s="338"/>
      <c r="Z18" s="188" t="s">
        <v>0</v>
      </c>
    </row>
    <row r="19" spans="1:26" ht="18" x14ac:dyDescent="0.35">
      <c r="B19" s="409" t="s">
        <v>439</v>
      </c>
      <c r="C19" s="207" t="s">
        <v>5</v>
      </c>
      <c r="D19" s="526"/>
      <c r="E19" s="338"/>
      <c r="Z19" s="188" t="s">
        <v>0</v>
      </c>
    </row>
    <row r="20" spans="1:26" ht="18" x14ac:dyDescent="0.35">
      <c r="A20" s="548" t="s">
        <v>546</v>
      </c>
      <c r="B20" s="419" t="s">
        <v>436</v>
      </c>
      <c r="C20" s="635">
        <f>0.0045*MAX(0,SUM(C21)-SUM(C22))</f>
        <v>0</v>
      </c>
      <c r="D20" s="526"/>
      <c r="E20" s="338"/>
      <c r="Z20" s="188" t="s">
        <v>0</v>
      </c>
    </row>
    <row r="21" spans="1:26" ht="18" x14ac:dyDescent="0.35">
      <c r="B21" s="304" t="s">
        <v>442</v>
      </c>
      <c r="C21" s="206" t="s">
        <v>5</v>
      </c>
      <c r="D21" s="526"/>
      <c r="E21" s="338"/>
      <c r="Z21" s="188" t="s">
        <v>0</v>
      </c>
    </row>
    <row r="22" spans="1:26" ht="18" x14ac:dyDescent="0.35">
      <c r="B22" s="409" t="s">
        <v>443</v>
      </c>
      <c r="C22" s="206" t="s">
        <v>5</v>
      </c>
      <c r="D22" s="526"/>
      <c r="E22" s="338"/>
      <c r="Z22" s="188" t="s">
        <v>0</v>
      </c>
    </row>
    <row r="23" spans="1:26" ht="18" x14ac:dyDescent="0.35">
      <c r="A23" s="548" t="s">
        <v>545</v>
      </c>
      <c r="B23" s="419" t="s">
        <v>437</v>
      </c>
      <c r="C23" s="222" t="s">
        <v>5</v>
      </c>
      <c r="D23" s="414"/>
      <c r="E23" s="256"/>
      <c r="Z23" s="188" t="s">
        <v>0</v>
      </c>
    </row>
    <row r="24" spans="1:26" x14ac:dyDescent="0.25">
      <c r="Z24" s="188" t="s">
        <v>0</v>
      </c>
    </row>
    <row r="25" spans="1:26" x14ac:dyDescent="0.25">
      <c r="Z25" s="188" t="s">
        <v>0</v>
      </c>
    </row>
    <row r="26" spans="1:26" x14ac:dyDescent="0.25">
      <c r="Z26" s="188" t="s">
        <v>0</v>
      </c>
    </row>
    <row r="27" spans="1:26" x14ac:dyDescent="0.25">
      <c r="B27" s="554" t="s">
        <v>500</v>
      </c>
      <c r="C27" s="555"/>
      <c r="D27" s="555"/>
      <c r="E27" s="555"/>
      <c r="F27" s="555"/>
      <c r="G27" s="555"/>
      <c r="H27" s="555"/>
      <c r="I27" s="555"/>
      <c r="J27" s="555"/>
      <c r="K27" s="555"/>
      <c r="L27" s="555"/>
      <c r="M27" s="555"/>
      <c r="N27" s="555"/>
      <c r="O27" s="555"/>
      <c r="P27" s="555"/>
      <c r="Q27" s="555"/>
      <c r="R27" s="555"/>
      <c r="S27" s="555"/>
      <c r="T27" s="555"/>
      <c r="U27" s="555"/>
      <c r="V27" s="555"/>
      <c r="W27" s="555"/>
      <c r="X27" s="556"/>
      <c r="Z27" s="188" t="s">
        <v>0</v>
      </c>
    </row>
    <row r="28" spans="1:26" x14ac:dyDescent="0.25">
      <c r="B28" s="209" t="s">
        <v>571</v>
      </c>
      <c r="C28" s="639">
        <f>IF('Overview SRA'!$G$18="No",SUM(C14),"-")</f>
        <v>0</v>
      </c>
      <c r="D28" s="629" t="str">
        <f>IF('Overview SRA'!$G$18="No",IF(OR(SUM(C29)&lt;SUM(C28)-0.5,SUM(C29)&gt;SUM(C28)+0.5),"ALERT: Implemented shock deviates from prescribed shock!",""),"")</f>
        <v/>
      </c>
      <c r="E28" s="519"/>
      <c r="F28" s="519"/>
      <c r="G28" s="519"/>
      <c r="H28" s="519"/>
      <c r="I28" s="519"/>
      <c r="J28" s="519"/>
      <c r="K28" s="519"/>
      <c r="L28" s="519"/>
      <c r="M28" s="519"/>
      <c r="N28" s="519"/>
      <c r="O28" s="519"/>
      <c r="P28" s="519"/>
      <c r="Q28" s="519"/>
      <c r="R28" s="519"/>
      <c r="S28" s="519"/>
      <c r="T28" s="519"/>
      <c r="U28" s="519"/>
      <c r="V28" s="519"/>
      <c r="W28" s="519"/>
      <c r="X28" s="519"/>
      <c r="Z28" s="188"/>
    </row>
    <row r="29" spans="1:26" x14ac:dyDescent="0.25">
      <c r="B29" s="211" t="s">
        <v>572</v>
      </c>
      <c r="C29" s="637">
        <f>IF('Overview SRA'!$G$18="No",MAX(SUM(C35)-SUM(O35),0),"-")</f>
        <v>0</v>
      </c>
      <c r="D29" s="256"/>
      <c r="E29" s="256"/>
      <c r="F29" s="256"/>
      <c r="G29" s="256"/>
      <c r="H29" s="256"/>
      <c r="I29" s="256"/>
      <c r="J29" s="256"/>
      <c r="K29" s="256"/>
      <c r="L29" s="256"/>
      <c r="M29" s="256"/>
      <c r="N29" s="256"/>
      <c r="O29" s="256"/>
      <c r="P29" s="256"/>
      <c r="Q29" s="256"/>
      <c r="R29" s="256"/>
      <c r="S29" s="256"/>
      <c r="T29" s="256"/>
      <c r="U29" s="256"/>
      <c r="V29" s="256"/>
      <c r="W29" s="256"/>
      <c r="X29" s="256"/>
      <c r="Z29" s="188" t="s">
        <v>0</v>
      </c>
    </row>
    <row r="30" spans="1:26" x14ac:dyDescent="0.25">
      <c r="B30" s="557"/>
      <c r="C30" s="558" t="s">
        <v>68</v>
      </c>
      <c r="D30" s="558"/>
      <c r="E30" s="558" t="s">
        <v>223</v>
      </c>
      <c r="F30" s="558"/>
      <c r="G30" s="558"/>
      <c r="H30" s="558"/>
      <c r="I30" s="558"/>
      <c r="J30" s="558"/>
      <c r="K30" s="558"/>
      <c r="L30" s="558"/>
      <c r="M30" s="558"/>
      <c r="N30" s="558"/>
      <c r="O30" s="558" t="s">
        <v>224</v>
      </c>
      <c r="P30" s="558"/>
      <c r="Q30" s="558"/>
      <c r="R30" s="558"/>
      <c r="S30" s="558"/>
      <c r="T30" s="558"/>
      <c r="U30" s="558"/>
      <c r="V30" s="558"/>
      <c r="W30" s="558"/>
      <c r="X30" s="559"/>
      <c r="Z30" s="188" t="s">
        <v>0</v>
      </c>
    </row>
    <row r="31" spans="1:26" x14ac:dyDescent="0.25">
      <c r="B31" s="134"/>
      <c r="C31" s="74" t="s">
        <v>69</v>
      </c>
      <c r="D31" s="74" t="s">
        <v>98</v>
      </c>
      <c r="E31" s="754" t="s">
        <v>82</v>
      </c>
      <c r="F31" s="755"/>
      <c r="G31" s="158" t="s">
        <v>65</v>
      </c>
      <c r="H31" s="159" t="s">
        <v>72</v>
      </c>
      <c r="I31" s="159" t="s">
        <v>75</v>
      </c>
      <c r="J31" s="159" t="s">
        <v>80</v>
      </c>
      <c r="K31" s="159" t="s">
        <v>78</v>
      </c>
      <c r="L31" s="160" t="s">
        <v>8</v>
      </c>
      <c r="M31" s="74" t="s">
        <v>83</v>
      </c>
      <c r="N31" s="33"/>
      <c r="O31" s="74" t="s">
        <v>69</v>
      </c>
      <c r="P31" s="74" t="s">
        <v>14</v>
      </c>
      <c r="Q31" s="480" t="s">
        <v>105</v>
      </c>
      <c r="R31" s="483"/>
      <c r="S31" s="483"/>
      <c r="T31" s="483"/>
      <c r="U31" s="484"/>
      <c r="V31" s="74" t="s">
        <v>92</v>
      </c>
      <c r="W31" s="159" t="s">
        <v>93</v>
      </c>
      <c r="X31" s="160" t="s">
        <v>94</v>
      </c>
      <c r="Z31" s="188" t="s">
        <v>0</v>
      </c>
    </row>
    <row r="32" spans="1:26" x14ac:dyDescent="0.25">
      <c r="B32" s="137"/>
      <c r="C32" s="75" t="s">
        <v>70</v>
      </c>
      <c r="D32" s="157" t="s">
        <v>99</v>
      </c>
      <c r="E32" s="161" t="s">
        <v>62</v>
      </c>
      <c r="F32" s="162" t="s">
        <v>64</v>
      </c>
      <c r="G32" s="163" t="s">
        <v>66</v>
      </c>
      <c r="H32" s="164" t="s">
        <v>73</v>
      </c>
      <c r="I32" s="164" t="s">
        <v>76</v>
      </c>
      <c r="J32" s="164" t="s">
        <v>81</v>
      </c>
      <c r="K32" s="164" t="s">
        <v>79</v>
      </c>
      <c r="L32" s="165"/>
      <c r="M32" s="75" t="s">
        <v>85</v>
      </c>
      <c r="N32" s="130"/>
      <c r="O32" s="75" t="s">
        <v>70</v>
      </c>
      <c r="P32" s="75"/>
      <c r="Q32" s="161" t="s">
        <v>84</v>
      </c>
      <c r="R32" s="172" t="s">
        <v>225</v>
      </c>
      <c r="S32" s="172" t="s">
        <v>226</v>
      </c>
      <c r="T32" s="172" t="s">
        <v>97</v>
      </c>
      <c r="U32" s="162" t="s">
        <v>89</v>
      </c>
      <c r="V32" s="75" t="s">
        <v>71</v>
      </c>
      <c r="W32" s="164" t="s">
        <v>71</v>
      </c>
      <c r="X32" s="165" t="s">
        <v>71</v>
      </c>
      <c r="Z32" s="188" t="s">
        <v>0</v>
      </c>
    </row>
    <row r="33" spans="1:26" x14ac:dyDescent="0.25">
      <c r="B33" s="137"/>
      <c r="C33" s="75" t="s">
        <v>71</v>
      </c>
      <c r="D33" s="75" t="s">
        <v>100</v>
      </c>
      <c r="E33" s="161" t="s">
        <v>63</v>
      </c>
      <c r="F33" s="162" t="s">
        <v>63</v>
      </c>
      <c r="G33" s="163" t="s">
        <v>67</v>
      </c>
      <c r="H33" s="164" t="s">
        <v>74</v>
      </c>
      <c r="I33" s="164" t="s">
        <v>77</v>
      </c>
      <c r="J33" s="164"/>
      <c r="K33" s="164"/>
      <c r="L33" s="165"/>
      <c r="M33" s="75"/>
      <c r="N33" s="130"/>
      <c r="O33" s="75" t="s">
        <v>71</v>
      </c>
      <c r="P33" s="75"/>
      <c r="Q33" s="161" t="s">
        <v>86</v>
      </c>
      <c r="R33" s="172" t="s">
        <v>86</v>
      </c>
      <c r="S33" s="172" t="s">
        <v>86</v>
      </c>
      <c r="T33" s="172" t="s">
        <v>88</v>
      </c>
      <c r="U33" s="162" t="s">
        <v>90</v>
      </c>
      <c r="V33" s="75"/>
      <c r="W33" s="164"/>
      <c r="X33" s="165"/>
      <c r="Z33" s="188" t="s">
        <v>0</v>
      </c>
    </row>
    <row r="34" spans="1:26" x14ac:dyDescent="0.25">
      <c r="B34" s="139"/>
      <c r="C34" s="76"/>
      <c r="D34" s="76" t="s">
        <v>101</v>
      </c>
      <c r="E34" s="163"/>
      <c r="F34" s="165"/>
      <c r="G34" s="163"/>
      <c r="H34" s="164"/>
      <c r="I34" s="164"/>
      <c r="J34" s="164"/>
      <c r="K34" s="164"/>
      <c r="L34" s="165"/>
      <c r="M34" s="76"/>
      <c r="N34" s="130"/>
      <c r="O34" s="76"/>
      <c r="P34" s="76"/>
      <c r="Q34" s="161"/>
      <c r="R34" s="172"/>
      <c r="S34" s="172"/>
      <c r="T34" s="172" t="s">
        <v>87</v>
      </c>
      <c r="U34" s="162" t="s">
        <v>91</v>
      </c>
      <c r="V34" s="76"/>
      <c r="W34" s="167"/>
      <c r="X34" s="55"/>
      <c r="Z34" s="188" t="s">
        <v>0</v>
      </c>
    </row>
    <row r="35" spans="1:26" x14ac:dyDescent="0.25">
      <c r="B35" s="223" t="s">
        <v>30</v>
      </c>
      <c r="C35" s="590">
        <f>SUM('Balance sheet'!$F$8)</f>
        <v>0</v>
      </c>
      <c r="D35" s="145" t="s">
        <v>95</v>
      </c>
      <c r="E35" s="460" t="s">
        <v>5</v>
      </c>
      <c r="F35" s="462" t="s">
        <v>5</v>
      </c>
      <c r="G35" s="460" t="s">
        <v>5</v>
      </c>
      <c r="H35" s="462" t="s">
        <v>5</v>
      </c>
      <c r="I35" s="462" t="s">
        <v>5</v>
      </c>
      <c r="J35" s="462" t="s">
        <v>5</v>
      </c>
      <c r="K35" s="462" t="s">
        <v>5</v>
      </c>
      <c r="L35" s="465" t="s">
        <v>5</v>
      </c>
      <c r="M35" s="636">
        <f>SUM(E35:L35)</f>
        <v>0</v>
      </c>
      <c r="N35" s="130"/>
      <c r="O35" s="589">
        <f>IF(M35&gt;0,SUM(M35)-SUM(P35:X35),C35)</f>
        <v>0</v>
      </c>
      <c r="P35" s="628">
        <f>SUM('Balance sheet'!$F$11)</f>
        <v>0</v>
      </c>
      <c r="Q35" s="460" t="s">
        <v>5</v>
      </c>
      <c r="R35" s="462" t="s">
        <v>5</v>
      </c>
      <c r="S35" s="66" t="s">
        <v>5</v>
      </c>
      <c r="T35" s="66" t="s">
        <v>5</v>
      </c>
      <c r="U35" s="67" t="s">
        <v>5</v>
      </c>
      <c r="V35" s="639">
        <f>SUM(J35)</f>
        <v>0</v>
      </c>
      <c r="W35" s="170" t="s">
        <v>5</v>
      </c>
      <c r="X35" s="169" t="s">
        <v>5</v>
      </c>
      <c r="Z35" s="188" t="s">
        <v>0</v>
      </c>
    </row>
    <row r="36" spans="1:26" x14ac:dyDescent="0.25">
      <c r="B36" s="139"/>
      <c r="C36" s="626">
        <f>SUM('Balance sheet'!$F$8)</f>
        <v>0</v>
      </c>
      <c r="D36" s="57" t="s">
        <v>96</v>
      </c>
      <c r="E36" s="459" t="s">
        <v>5</v>
      </c>
      <c r="F36" s="340" t="s">
        <v>5</v>
      </c>
      <c r="G36" s="459" t="s">
        <v>5</v>
      </c>
      <c r="H36" s="340" t="s">
        <v>5</v>
      </c>
      <c r="I36" s="340" t="s">
        <v>5</v>
      </c>
      <c r="J36" s="340" t="s">
        <v>5</v>
      </c>
      <c r="K36" s="340" t="s">
        <v>5</v>
      </c>
      <c r="L36" s="464" t="s">
        <v>5</v>
      </c>
      <c r="M36" s="637">
        <f>SUM(E36:L36)</f>
        <v>0</v>
      </c>
      <c r="N36" s="34"/>
      <c r="O36" s="625">
        <f>IF(M36&gt;0,SUM(M36)-SUM(P36:X36),C36)</f>
        <v>0</v>
      </c>
      <c r="P36" s="638">
        <f>SUM('Balance sheet'!$F$11)</f>
        <v>0</v>
      </c>
      <c r="Q36" s="466" t="s">
        <v>5</v>
      </c>
      <c r="R36" s="340" t="s">
        <v>5</v>
      </c>
      <c r="S36" s="69" t="s">
        <v>5</v>
      </c>
      <c r="T36" s="69" t="s">
        <v>5</v>
      </c>
      <c r="U36" s="70" t="s">
        <v>5</v>
      </c>
      <c r="V36" s="637">
        <f>SUM(J36)</f>
        <v>0</v>
      </c>
      <c r="W36" s="69" t="s">
        <v>5</v>
      </c>
      <c r="X36" s="70" t="s">
        <v>5</v>
      </c>
      <c r="Z36" s="188" t="s">
        <v>0</v>
      </c>
    </row>
    <row r="37" spans="1:26" x14ac:dyDescent="0.25">
      <c r="Z37" s="188" t="s">
        <v>0</v>
      </c>
    </row>
    <row r="38" spans="1:26" x14ac:dyDescent="0.25">
      <c r="Z38" s="188" t="s">
        <v>0</v>
      </c>
    </row>
    <row r="39" spans="1:26" x14ac:dyDescent="0.25">
      <c r="Z39" s="188" t="s">
        <v>0</v>
      </c>
    </row>
    <row r="40" spans="1:26" x14ac:dyDescent="0.25">
      <c r="A40" s="188" t="s">
        <v>0</v>
      </c>
      <c r="B40" s="188" t="s">
        <v>0</v>
      </c>
      <c r="C40" s="188" t="s">
        <v>0</v>
      </c>
      <c r="D40" s="188" t="s">
        <v>0</v>
      </c>
      <c r="E40" s="188" t="s">
        <v>0</v>
      </c>
      <c r="F40" s="188" t="s">
        <v>0</v>
      </c>
      <c r="G40" s="188" t="s">
        <v>0</v>
      </c>
      <c r="H40" s="188" t="s">
        <v>0</v>
      </c>
      <c r="I40" s="188" t="s">
        <v>0</v>
      </c>
      <c r="J40" s="188" t="s">
        <v>0</v>
      </c>
      <c r="K40" s="188" t="s">
        <v>0</v>
      </c>
      <c r="L40" s="188" t="s">
        <v>0</v>
      </c>
      <c r="M40" s="188" t="s">
        <v>0</v>
      </c>
      <c r="N40" s="188" t="s">
        <v>0</v>
      </c>
      <c r="O40" s="188" t="s">
        <v>0</v>
      </c>
      <c r="P40" s="188" t="s">
        <v>0</v>
      </c>
      <c r="Q40" s="188" t="s">
        <v>0</v>
      </c>
      <c r="R40" s="188" t="s">
        <v>0</v>
      </c>
      <c r="S40" s="188" t="s">
        <v>0</v>
      </c>
      <c r="T40" s="188" t="s">
        <v>0</v>
      </c>
      <c r="U40" s="188" t="s">
        <v>0</v>
      </c>
      <c r="V40" s="188" t="s">
        <v>0</v>
      </c>
      <c r="W40" s="188" t="s">
        <v>0</v>
      </c>
      <c r="X40" s="188" t="s">
        <v>0</v>
      </c>
      <c r="Y40" s="188" t="s">
        <v>0</v>
      </c>
      <c r="Z40" s="188" t="s">
        <v>0</v>
      </c>
    </row>
  </sheetData>
  <mergeCells count="1">
    <mergeCell ref="E31:F31"/>
  </mergeCells>
  <dataValidations count="1">
    <dataValidation type="decimal" operator="lessThanOrEqual" allowBlank="1" showInputMessage="1" showErrorMessage="1" errorTitle="Non-negative input" error="Adjustment needs to have negative value" prompt="Please enter a negative value, if relevant" sqref="F30:L34 T35:U36">
      <formula1>0</formula1>
    </dataValidation>
  </dataValidations>
  <pageMargins left="0.7" right="0.7" top="0.75" bottom="0.75" header="0.3" footer="0.3"/>
  <pageSetup paperSize="9" orientation="portrait" r:id="rId1"/>
  <ignoredErrors>
    <ignoredError sqref="C15 C20"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19"/>
  <sheetViews>
    <sheetView workbookViewId="0">
      <selection activeCell="E17" sqref="E17"/>
    </sheetView>
  </sheetViews>
  <sheetFormatPr defaultRowHeight="15" x14ac:dyDescent="0.25"/>
  <cols>
    <col min="2" max="2" width="23.140625" bestFit="1" customWidth="1"/>
  </cols>
  <sheetData>
    <row r="1" spans="1:4" x14ac:dyDescent="0.25">
      <c r="A1" s="583" t="s">
        <v>601</v>
      </c>
      <c r="B1" s="583" t="s">
        <v>2</v>
      </c>
      <c r="C1" s="585" t="s">
        <v>602</v>
      </c>
      <c r="D1" s="584" t="s">
        <v>603</v>
      </c>
    </row>
    <row r="2" spans="1:4" x14ac:dyDescent="0.25">
      <c r="A2" t="s">
        <v>604</v>
      </c>
      <c r="B2" t="s">
        <v>424</v>
      </c>
      <c r="C2" s="585" t="str">
        <f>IF(D2="","OK","")</f>
        <v>OK</v>
      </c>
      <c r="D2" s="584" t="str">
        <f>'Balance sheet'!H8</f>
        <v/>
      </c>
    </row>
    <row r="3" spans="1:4" x14ac:dyDescent="0.25">
      <c r="A3" t="s">
        <v>605</v>
      </c>
      <c r="B3" t="s">
        <v>424</v>
      </c>
      <c r="C3" s="585" t="str">
        <f t="shared" ref="C3:C19" si="0">IF(D3="","OK","")</f>
        <v>OK</v>
      </c>
      <c r="D3" s="584" t="str">
        <f>'Balance sheet'!H10</f>
        <v/>
      </c>
    </row>
    <row r="4" spans="1:4" x14ac:dyDescent="0.25">
      <c r="A4" t="s">
        <v>606</v>
      </c>
      <c r="B4" t="s">
        <v>424</v>
      </c>
      <c r="C4" s="585" t="str">
        <f t="shared" si="0"/>
        <v>OK</v>
      </c>
      <c r="D4" s="584" t="str">
        <f>'Balance sheet'!H11</f>
        <v/>
      </c>
    </row>
    <row r="5" spans="1:4" x14ac:dyDescent="0.25">
      <c r="A5" t="s">
        <v>607</v>
      </c>
      <c r="B5" t="s">
        <v>426</v>
      </c>
      <c r="C5" s="585" t="str">
        <f t="shared" si="0"/>
        <v/>
      </c>
      <c r="D5" s="584" t="str">
        <f>'Discounted values'!E2</f>
        <v>ALERT: Risk-free rate and, if relevant, inflation curves (provided annually by EIOPA) not completed in columns I and J!</v>
      </c>
    </row>
    <row r="6" spans="1:4" x14ac:dyDescent="0.25">
      <c r="A6" t="s">
        <v>608</v>
      </c>
      <c r="B6" t="s">
        <v>426</v>
      </c>
      <c r="C6" s="585" t="str">
        <f t="shared" si="0"/>
        <v>OK</v>
      </c>
      <c r="D6" s="584" t="str">
        <f>'Discounted values'!E3</f>
        <v/>
      </c>
    </row>
    <row r="7" spans="1:4" x14ac:dyDescent="0.25">
      <c r="A7" t="s">
        <v>609</v>
      </c>
      <c r="B7" t="s">
        <v>427</v>
      </c>
      <c r="C7" s="585" t="str">
        <f t="shared" si="0"/>
        <v>OK</v>
      </c>
      <c r="D7" s="584" t="str">
        <f>'Overview SRA'!D29</f>
        <v/>
      </c>
    </row>
    <row r="8" spans="1:4" x14ac:dyDescent="0.25">
      <c r="A8" t="s">
        <v>610</v>
      </c>
      <c r="B8" t="s">
        <v>430</v>
      </c>
      <c r="C8" s="585" t="str">
        <f t="shared" si="0"/>
        <v>OK</v>
      </c>
      <c r="D8" s="584" t="str">
        <f>'Market risk'!B14</f>
        <v/>
      </c>
    </row>
    <row r="9" spans="1:4" x14ac:dyDescent="0.25">
      <c r="A9" t="s">
        <v>611</v>
      </c>
      <c r="B9" t="s">
        <v>430</v>
      </c>
      <c r="C9" s="585" t="str">
        <f t="shared" si="0"/>
        <v/>
      </c>
      <c r="D9" s="584" t="str">
        <f>'Market risk'!I73</f>
        <v>ALERT: Symmetric adjustment for the equity risk sub-module (provided by EIOPA annually) not completed in cell H73!</v>
      </c>
    </row>
    <row r="10" spans="1:4" x14ac:dyDescent="0.25">
      <c r="A10" t="s">
        <v>612</v>
      </c>
      <c r="B10" t="s">
        <v>431</v>
      </c>
      <c r="C10" s="585" t="str">
        <f t="shared" si="0"/>
        <v>OK</v>
      </c>
      <c r="D10" s="584" t="str">
        <f>'Counterparty default risk'!D98</f>
        <v/>
      </c>
    </row>
    <row r="11" spans="1:4" x14ac:dyDescent="0.25">
      <c r="A11" t="s">
        <v>613</v>
      </c>
      <c r="B11" t="s">
        <v>432</v>
      </c>
      <c r="C11" s="585" t="str">
        <f t="shared" si="0"/>
        <v>OK</v>
      </c>
      <c r="D11" s="586" t="str">
        <f>'Pension liability risk'!D55</f>
        <v/>
      </c>
    </row>
    <row r="12" spans="1:4" x14ac:dyDescent="0.25">
      <c r="A12" t="s">
        <v>614</v>
      </c>
      <c r="B12" t="s">
        <v>432</v>
      </c>
      <c r="C12" s="585" t="str">
        <f t="shared" si="0"/>
        <v>OK</v>
      </c>
      <c r="D12" s="586" t="str">
        <f>'Pension liability risk'!D65</f>
        <v/>
      </c>
    </row>
    <row r="13" spans="1:4" x14ac:dyDescent="0.25">
      <c r="A13" t="s">
        <v>615</v>
      </c>
      <c r="B13" t="s">
        <v>432</v>
      </c>
      <c r="C13" s="585" t="str">
        <f t="shared" si="0"/>
        <v>OK</v>
      </c>
      <c r="D13" s="586" t="str">
        <f>'Pension liability risk'!D77</f>
        <v/>
      </c>
    </row>
    <row r="14" spans="1:4" x14ac:dyDescent="0.25">
      <c r="A14" t="s">
        <v>616</v>
      </c>
      <c r="B14" t="s">
        <v>432</v>
      </c>
      <c r="C14" s="585" t="str">
        <f t="shared" si="0"/>
        <v>OK</v>
      </c>
      <c r="D14" s="586" t="str">
        <f>'Pension liability risk'!D92</f>
        <v/>
      </c>
    </row>
    <row r="15" spans="1:4" x14ac:dyDescent="0.25">
      <c r="A15" t="s">
        <v>617</v>
      </c>
      <c r="B15" t="s">
        <v>432</v>
      </c>
      <c r="C15" s="585" t="str">
        <f t="shared" si="0"/>
        <v>OK</v>
      </c>
      <c r="D15" s="586" t="str">
        <f>'Pension liability risk'!D102</f>
        <v/>
      </c>
    </row>
    <row r="16" spans="1:4" x14ac:dyDescent="0.25">
      <c r="A16" t="s">
        <v>618</v>
      </c>
      <c r="B16" t="s">
        <v>432</v>
      </c>
      <c r="C16" s="585" t="str">
        <f t="shared" si="0"/>
        <v>OK</v>
      </c>
      <c r="D16" s="586" t="str">
        <f>'Pension liability risk'!D112</f>
        <v/>
      </c>
    </row>
    <row r="17" spans="1:4" x14ac:dyDescent="0.25">
      <c r="A17" t="s">
        <v>619</v>
      </c>
      <c r="B17" t="s">
        <v>432</v>
      </c>
      <c r="C17" s="585" t="str">
        <f t="shared" si="0"/>
        <v>OK</v>
      </c>
      <c r="D17" s="586" t="str">
        <f>'Pension liability risk'!D122</f>
        <v/>
      </c>
    </row>
    <row r="18" spans="1:4" x14ac:dyDescent="0.25">
      <c r="A18" t="s">
        <v>620</v>
      </c>
      <c r="B18" t="s">
        <v>433</v>
      </c>
      <c r="C18" s="585" t="str">
        <f t="shared" si="0"/>
        <v>OK</v>
      </c>
      <c r="D18" s="584" t="str">
        <f>'Intangible asset risk'!D21</f>
        <v/>
      </c>
    </row>
    <row r="19" spans="1:4" x14ac:dyDescent="0.25">
      <c r="A19" t="s">
        <v>621</v>
      </c>
      <c r="B19" t="s">
        <v>434</v>
      </c>
      <c r="C19" s="585" t="str">
        <f t="shared" si="0"/>
        <v>OK</v>
      </c>
      <c r="D19" s="584" t="str">
        <f>'Operational risk'!D28</f>
        <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2:C129"/>
  <sheetViews>
    <sheetView workbookViewId="0"/>
  </sheetViews>
  <sheetFormatPr defaultColWidth="9.140625" defaultRowHeight="15" x14ac:dyDescent="0.25"/>
  <cols>
    <col min="1" max="2" width="18.140625" style="5" customWidth="1"/>
    <col min="3" max="3" width="86.42578125" style="5" customWidth="1"/>
    <col min="4" max="16384" width="9.140625" style="5"/>
  </cols>
  <sheetData>
    <row r="2" spans="1:3" x14ac:dyDescent="0.25">
      <c r="A2" s="431" t="s">
        <v>412</v>
      </c>
      <c r="B2" s="228"/>
      <c r="C2" s="228"/>
    </row>
    <row r="3" spans="1:3" x14ac:dyDescent="0.25">
      <c r="A3" s="228"/>
      <c r="B3" s="739" t="s">
        <v>411</v>
      </c>
      <c r="C3" s="738"/>
    </row>
    <row r="4" spans="1:3" x14ac:dyDescent="0.25">
      <c r="A4" s="228"/>
      <c r="B4" s="433"/>
      <c r="C4" s="433"/>
    </row>
    <row r="5" spans="1:3" x14ac:dyDescent="0.25">
      <c r="A5" s="228" t="s">
        <v>406</v>
      </c>
      <c r="B5" s="228"/>
      <c r="C5" s="228"/>
    </row>
    <row r="6" spans="1:3" x14ac:dyDescent="0.25">
      <c r="A6" s="228"/>
      <c r="B6" s="228" t="s">
        <v>413</v>
      </c>
      <c r="C6" s="228"/>
    </row>
    <row r="7" spans="1:3" x14ac:dyDescent="0.25">
      <c r="A7" s="228"/>
      <c r="B7" s="228"/>
      <c r="C7" s="228"/>
    </row>
    <row r="8" spans="1:3" x14ac:dyDescent="0.25">
      <c r="A8" s="228"/>
      <c r="B8" s="436" t="s">
        <v>407</v>
      </c>
      <c r="C8" s="432" t="s">
        <v>414</v>
      </c>
    </row>
    <row r="9" spans="1:3" x14ac:dyDescent="0.25">
      <c r="A9" s="228"/>
      <c r="B9" s="434" t="s">
        <v>415</v>
      </c>
      <c r="C9" s="432" t="s">
        <v>416</v>
      </c>
    </row>
    <row r="10" spans="1:3" x14ac:dyDescent="0.25">
      <c r="A10" s="228"/>
      <c r="B10" s="437" t="s">
        <v>408</v>
      </c>
      <c r="C10" s="432" t="s">
        <v>409</v>
      </c>
    </row>
    <row r="11" spans="1:3" x14ac:dyDescent="0.25">
      <c r="A11" s="228"/>
      <c r="B11" s="435" t="s">
        <v>386</v>
      </c>
      <c r="C11" s="432" t="s">
        <v>410</v>
      </c>
    </row>
    <row r="12" spans="1:3" x14ac:dyDescent="0.25">
      <c r="A12" s="228"/>
      <c r="B12" s="228"/>
      <c r="C12" s="228"/>
    </row>
    <row r="13" spans="1:3" x14ac:dyDescent="0.25">
      <c r="A13" s="228"/>
      <c r="B13" s="228" t="s">
        <v>650</v>
      </c>
      <c r="C13" s="228"/>
    </row>
    <row r="14" spans="1:3" x14ac:dyDescent="0.25">
      <c r="A14" s="228"/>
      <c r="B14" s="228"/>
      <c r="C14" s="228"/>
    </row>
    <row r="15" spans="1:3" x14ac:dyDescent="0.25">
      <c r="A15" s="431" t="s">
        <v>417</v>
      </c>
      <c r="B15" s="228"/>
      <c r="C15" s="228"/>
    </row>
    <row r="16" spans="1:3" x14ac:dyDescent="0.25">
      <c r="A16" s="228"/>
      <c r="B16" s="739" t="s">
        <v>418</v>
      </c>
      <c r="C16" s="738"/>
    </row>
    <row r="17" spans="1:3" x14ac:dyDescent="0.25">
      <c r="A17" s="228"/>
      <c r="B17" s="433"/>
      <c r="C17" s="433"/>
    </row>
    <row r="18" spans="1:3" x14ac:dyDescent="0.25">
      <c r="A18" s="228"/>
      <c r="B18" s="739" t="s">
        <v>646</v>
      </c>
      <c r="C18" s="738"/>
    </row>
    <row r="19" spans="1:3" x14ac:dyDescent="0.25">
      <c r="A19" s="228"/>
      <c r="B19" s="738"/>
      <c r="C19" s="738"/>
    </row>
    <row r="20" spans="1:3" x14ac:dyDescent="0.25">
      <c r="A20" s="228"/>
      <c r="B20" s="433"/>
      <c r="C20" s="433"/>
    </row>
    <row r="21" spans="1:3" x14ac:dyDescent="0.25">
      <c r="A21" s="432" t="s">
        <v>419</v>
      </c>
      <c r="B21" s="228"/>
      <c r="C21" s="228"/>
    </row>
    <row r="22" spans="1:3" x14ac:dyDescent="0.25">
      <c r="A22" s="228" t="s">
        <v>420</v>
      </c>
      <c r="B22" s="228"/>
      <c r="C22" s="228"/>
    </row>
    <row r="23" spans="1:3" x14ac:dyDescent="0.25">
      <c r="A23" s="228"/>
      <c r="B23" s="228" t="s">
        <v>421</v>
      </c>
      <c r="C23" s="228"/>
    </row>
    <row r="24" spans="1:3" x14ac:dyDescent="0.25">
      <c r="A24" s="228"/>
      <c r="B24" s="228"/>
      <c r="C24" s="228"/>
    </row>
    <row r="25" spans="1:3" x14ac:dyDescent="0.25">
      <c r="A25" s="228" t="s">
        <v>422</v>
      </c>
      <c r="B25" s="228"/>
      <c r="C25" s="228"/>
    </row>
    <row r="26" spans="1:3" x14ac:dyDescent="0.25">
      <c r="A26" s="228"/>
      <c r="B26" s="739" t="s">
        <v>423</v>
      </c>
      <c r="C26" s="738"/>
    </row>
    <row r="27" spans="1:3" x14ac:dyDescent="0.25">
      <c r="A27" s="228"/>
      <c r="B27" s="433"/>
      <c r="C27" s="433"/>
    </row>
    <row r="28" spans="1:3" x14ac:dyDescent="0.25">
      <c r="A28" s="228" t="s">
        <v>424</v>
      </c>
      <c r="B28" s="228"/>
      <c r="C28" s="228"/>
    </row>
    <row r="29" spans="1:3" x14ac:dyDescent="0.25">
      <c r="A29" s="228"/>
      <c r="B29" s="739" t="s">
        <v>425</v>
      </c>
      <c r="C29" s="738"/>
    </row>
    <row r="30" spans="1:3" x14ac:dyDescent="0.25">
      <c r="A30" s="228"/>
      <c r="B30" s="433"/>
      <c r="C30" s="433"/>
    </row>
    <row r="31" spans="1:3" x14ac:dyDescent="0.25">
      <c r="A31" s="228" t="s">
        <v>426</v>
      </c>
      <c r="B31" s="228"/>
      <c r="C31" s="228"/>
    </row>
    <row r="32" spans="1:3" x14ac:dyDescent="0.25">
      <c r="A32" s="228"/>
      <c r="B32" s="739" t="s">
        <v>645</v>
      </c>
      <c r="C32" s="739"/>
    </row>
    <row r="33" spans="1:3" x14ac:dyDescent="0.25">
      <c r="A33" s="228"/>
      <c r="B33" s="739"/>
      <c r="C33" s="739"/>
    </row>
    <row r="34" spans="1:3" x14ac:dyDescent="0.25">
      <c r="A34" s="228"/>
      <c r="B34" s="739"/>
      <c r="C34" s="739"/>
    </row>
    <row r="35" spans="1:3" x14ac:dyDescent="0.25">
      <c r="A35" s="228"/>
      <c r="B35" s="739"/>
      <c r="C35" s="739"/>
    </row>
    <row r="36" spans="1:3" x14ac:dyDescent="0.25">
      <c r="A36" s="228"/>
      <c r="B36" s="433"/>
      <c r="C36" s="433"/>
    </row>
    <row r="37" spans="1:3" x14ac:dyDescent="0.25">
      <c r="A37" s="228" t="s">
        <v>427</v>
      </c>
      <c r="B37" s="228"/>
      <c r="C37" s="228"/>
    </row>
    <row r="38" spans="1:3" x14ac:dyDescent="0.25">
      <c r="A38" s="228"/>
      <c r="B38" s="739" t="s">
        <v>428</v>
      </c>
      <c r="C38" s="739"/>
    </row>
    <row r="39" spans="1:3" x14ac:dyDescent="0.25">
      <c r="A39" s="228"/>
      <c r="B39" s="739"/>
      <c r="C39" s="739"/>
    </row>
    <row r="40" spans="1:3" x14ac:dyDescent="0.25">
      <c r="A40" s="228"/>
      <c r="B40" s="527"/>
      <c r="C40" s="527"/>
    </row>
    <row r="41" spans="1:3" x14ac:dyDescent="0.25">
      <c r="A41" s="228"/>
      <c r="B41" s="739" t="s">
        <v>429</v>
      </c>
      <c r="C41" s="738"/>
    </row>
    <row r="42" spans="1:3" x14ac:dyDescent="0.25">
      <c r="A42" s="228"/>
      <c r="B42" s="433"/>
      <c r="C42" s="433"/>
    </row>
    <row r="43" spans="1:3" x14ac:dyDescent="0.25">
      <c r="A43" s="228"/>
      <c r="B43" s="432" t="s">
        <v>557</v>
      </c>
      <c r="C43" s="228"/>
    </row>
    <row r="44" spans="1:3" x14ac:dyDescent="0.25">
      <c r="A44" s="228"/>
      <c r="B44" s="432"/>
      <c r="C44" s="228"/>
    </row>
    <row r="45" spans="1:3" x14ac:dyDescent="0.25">
      <c r="A45" s="228"/>
      <c r="B45" s="553" t="s">
        <v>558</v>
      </c>
      <c r="C45" s="228"/>
    </row>
    <row r="46" spans="1:3" x14ac:dyDescent="0.25">
      <c r="A46" s="228"/>
      <c r="B46" s="739" t="s">
        <v>575</v>
      </c>
      <c r="C46" s="739"/>
    </row>
    <row r="47" spans="1:3" x14ac:dyDescent="0.25">
      <c r="A47" s="228"/>
      <c r="B47" s="739"/>
      <c r="C47" s="739"/>
    </row>
    <row r="48" spans="1:3" x14ac:dyDescent="0.25">
      <c r="A48" s="228"/>
      <c r="B48" s="739"/>
      <c r="C48" s="739"/>
    </row>
    <row r="49" spans="1:3" x14ac:dyDescent="0.25">
      <c r="A49" s="228"/>
      <c r="B49" s="739"/>
      <c r="C49" s="739"/>
    </row>
    <row r="50" spans="1:3" x14ac:dyDescent="0.25">
      <c r="A50" s="228"/>
      <c r="B50" s="739"/>
      <c r="C50" s="739"/>
    </row>
    <row r="51" spans="1:3" x14ac:dyDescent="0.25">
      <c r="A51" s="228"/>
      <c r="B51" s="739"/>
      <c r="C51" s="739"/>
    </row>
    <row r="52" spans="1:3" x14ac:dyDescent="0.25">
      <c r="A52" s="228"/>
      <c r="B52" s="739"/>
      <c r="C52" s="739"/>
    </row>
    <row r="53" spans="1:3" x14ac:dyDescent="0.25">
      <c r="A53" s="228"/>
      <c r="B53" s="739"/>
      <c r="C53" s="739"/>
    </row>
    <row r="54" spans="1:3" x14ac:dyDescent="0.25">
      <c r="A54" s="228"/>
      <c r="B54" s="739"/>
      <c r="C54" s="739"/>
    </row>
    <row r="55" spans="1:3" x14ac:dyDescent="0.25">
      <c r="A55" s="228"/>
      <c r="B55" s="527"/>
      <c r="C55" s="527"/>
    </row>
    <row r="56" spans="1:3" x14ac:dyDescent="0.25">
      <c r="A56" s="228"/>
      <c r="B56" s="739" t="s">
        <v>560</v>
      </c>
      <c r="C56" s="739"/>
    </row>
    <row r="57" spans="1:3" x14ac:dyDescent="0.25">
      <c r="A57" s="228"/>
      <c r="B57" s="739"/>
      <c r="C57" s="739"/>
    </row>
    <row r="58" spans="1:3" x14ac:dyDescent="0.25">
      <c r="A58" s="228"/>
      <c r="B58" s="739"/>
      <c r="C58" s="739"/>
    </row>
    <row r="59" spans="1:3" x14ac:dyDescent="0.25">
      <c r="A59" s="228"/>
      <c r="B59" s="433"/>
      <c r="C59" s="433"/>
    </row>
    <row r="60" spans="1:3" x14ac:dyDescent="0.25">
      <c r="A60" s="228"/>
      <c r="B60" s="553" t="s">
        <v>559</v>
      </c>
      <c r="C60" s="433"/>
    </row>
    <row r="61" spans="1:3" ht="14.45" customHeight="1" x14ac:dyDescent="0.25">
      <c r="A61" s="228"/>
      <c r="B61" s="739" t="s">
        <v>647</v>
      </c>
      <c r="C61" s="739"/>
    </row>
    <row r="62" spans="1:3" x14ac:dyDescent="0.25">
      <c r="A62" s="228"/>
      <c r="B62" s="739"/>
      <c r="C62" s="739"/>
    </row>
    <row r="63" spans="1:3" x14ac:dyDescent="0.25">
      <c r="A63" s="228"/>
      <c r="B63" s="739"/>
      <c r="C63" s="739"/>
    </row>
    <row r="64" spans="1:3" x14ac:dyDescent="0.25">
      <c r="A64" s="228"/>
      <c r="B64" s="739"/>
      <c r="C64" s="739"/>
    </row>
    <row r="65" spans="1:3" x14ac:dyDescent="0.25">
      <c r="A65" s="228"/>
      <c r="B65" s="567"/>
      <c r="C65" s="567"/>
    </row>
    <row r="66" spans="1:3" ht="14.45" customHeight="1" x14ac:dyDescent="0.25">
      <c r="A66" s="228"/>
      <c r="B66" s="739" t="s">
        <v>648</v>
      </c>
      <c r="C66" s="739"/>
    </row>
    <row r="67" spans="1:3" x14ac:dyDescent="0.25">
      <c r="A67" s="228"/>
      <c r="B67" s="739"/>
      <c r="C67" s="739"/>
    </row>
    <row r="68" spans="1:3" x14ac:dyDescent="0.25">
      <c r="A68" s="228"/>
      <c r="B68" s="739"/>
      <c r="C68" s="739"/>
    </row>
    <row r="69" spans="1:3" x14ac:dyDescent="0.25">
      <c r="A69" s="228"/>
      <c r="B69" s="739"/>
      <c r="C69" s="739"/>
    </row>
    <row r="70" spans="1:3" x14ac:dyDescent="0.25">
      <c r="A70" s="228"/>
      <c r="B70" s="739"/>
      <c r="C70" s="739"/>
    </row>
    <row r="71" spans="1:3" x14ac:dyDescent="0.25">
      <c r="A71" s="228"/>
      <c r="B71" s="739"/>
      <c r="C71" s="739"/>
    </row>
    <row r="72" spans="1:3" x14ac:dyDescent="0.25">
      <c r="A72" s="228"/>
      <c r="B72" s="739"/>
      <c r="C72" s="739"/>
    </row>
    <row r="73" spans="1:3" x14ac:dyDescent="0.25">
      <c r="A73" s="228"/>
      <c r="B73" s="567"/>
      <c r="C73" s="567"/>
    </row>
    <row r="74" spans="1:3" x14ac:dyDescent="0.25">
      <c r="A74" s="228"/>
      <c r="B74" s="739" t="s">
        <v>649</v>
      </c>
      <c r="C74" s="739"/>
    </row>
    <row r="75" spans="1:3" x14ac:dyDescent="0.25">
      <c r="A75" s="228"/>
      <c r="B75" s="739"/>
      <c r="C75" s="739"/>
    </row>
    <row r="76" spans="1:3" x14ac:dyDescent="0.25">
      <c r="A76" s="228"/>
      <c r="B76" s="739"/>
      <c r="C76" s="739"/>
    </row>
    <row r="77" spans="1:3" x14ac:dyDescent="0.25">
      <c r="A77" s="228"/>
      <c r="B77" s="739"/>
      <c r="C77" s="739"/>
    </row>
    <row r="78" spans="1:3" x14ac:dyDescent="0.25">
      <c r="A78" s="228"/>
      <c r="B78" s="739"/>
      <c r="C78" s="739"/>
    </row>
    <row r="79" spans="1:3" x14ac:dyDescent="0.25">
      <c r="A79" s="228"/>
      <c r="B79" s="739"/>
      <c r="C79" s="739"/>
    </row>
    <row r="80" spans="1:3" x14ac:dyDescent="0.25">
      <c r="A80" s="228"/>
      <c r="B80" s="739"/>
      <c r="C80" s="739"/>
    </row>
    <row r="81" spans="1:3" x14ac:dyDescent="0.25">
      <c r="A81" s="228" t="s">
        <v>430</v>
      </c>
      <c r="B81" s="228"/>
      <c r="C81" s="228"/>
    </row>
    <row r="82" spans="1:3" x14ac:dyDescent="0.25">
      <c r="A82" s="228"/>
      <c r="B82" s="739" t="s">
        <v>640</v>
      </c>
      <c r="C82" s="739"/>
    </row>
    <row r="83" spans="1:3" x14ac:dyDescent="0.25">
      <c r="A83" s="228"/>
      <c r="B83" s="739"/>
      <c r="C83" s="739"/>
    </row>
    <row r="84" spans="1:3" x14ac:dyDescent="0.25">
      <c r="A84" s="228"/>
      <c r="B84" s="739"/>
      <c r="C84" s="739"/>
    </row>
    <row r="85" spans="1:3" x14ac:dyDescent="0.25">
      <c r="A85" s="228"/>
      <c r="B85" s="739"/>
      <c r="C85" s="739"/>
    </row>
    <row r="86" spans="1:3" x14ac:dyDescent="0.25">
      <c r="A86" s="228"/>
      <c r="B86" s="739"/>
      <c r="C86" s="739"/>
    </row>
    <row r="87" spans="1:3" ht="29.1" customHeight="1" x14ac:dyDescent="0.25">
      <c r="A87" s="228"/>
      <c r="B87" s="738" t="s">
        <v>639</v>
      </c>
      <c r="C87" s="738"/>
    </row>
    <row r="88" spans="1:3" x14ac:dyDescent="0.25">
      <c r="A88" s="228"/>
      <c r="B88" s="738"/>
      <c r="C88" s="738"/>
    </row>
    <row r="89" spans="1:3" x14ac:dyDescent="0.25">
      <c r="A89" s="228"/>
      <c r="B89" s="433"/>
      <c r="C89" s="433"/>
    </row>
    <row r="90" spans="1:3" x14ac:dyDescent="0.25">
      <c r="A90" s="228" t="s">
        <v>431</v>
      </c>
      <c r="B90" s="228"/>
      <c r="C90" s="228"/>
    </row>
    <row r="91" spans="1:3" x14ac:dyDescent="0.25">
      <c r="A91" s="228"/>
      <c r="B91" s="739" t="s">
        <v>641</v>
      </c>
      <c r="C91" s="739"/>
    </row>
    <row r="92" spans="1:3" x14ac:dyDescent="0.25">
      <c r="A92" s="228"/>
      <c r="B92" s="739"/>
      <c r="C92" s="739"/>
    </row>
    <row r="93" spans="1:3" x14ac:dyDescent="0.25">
      <c r="A93" s="228"/>
      <c r="B93" s="739"/>
      <c r="C93" s="739"/>
    </row>
    <row r="94" spans="1:3" x14ac:dyDescent="0.25">
      <c r="A94" s="228"/>
      <c r="B94" s="739"/>
      <c r="C94" s="739"/>
    </row>
    <row r="95" spans="1:3" x14ac:dyDescent="0.25">
      <c r="A95" s="228"/>
      <c r="B95" s="739"/>
      <c r="C95" s="739"/>
    </row>
    <row r="96" spans="1:3" x14ac:dyDescent="0.25">
      <c r="A96" s="228"/>
      <c r="B96" s="739"/>
      <c r="C96" s="739"/>
    </row>
    <row r="97" spans="1:3" x14ac:dyDescent="0.25">
      <c r="A97" s="228"/>
      <c r="B97" s="739"/>
      <c r="C97" s="739"/>
    </row>
    <row r="98" spans="1:3" x14ac:dyDescent="0.25">
      <c r="A98" s="228"/>
      <c r="B98" s="433"/>
      <c r="C98" s="433"/>
    </row>
    <row r="99" spans="1:3" x14ac:dyDescent="0.25">
      <c r="A99" s="228" t="s">
        <v>432</v>
      </c>
      <c r="B99" s="228"/>
      <c r="C99" s="228"/>
    </row>
    <row r="100" spans="1:3" x14ac:dyDescent="0.25">
      <c r="A100" s="228"/>
      <c r="B100" s="739" t="s">
        <v>642</v>
      </c>
      <c r="C100" s="739"/>
    </row>
    <row r="101" spans="1:3" x14ac:dyDescent="0.25">
      <c r="A101" s="228"/>
      <c r="B101" s="739"/>
      <c r="C101" s="739"/>
    </row>
    <row r="102" spans="1:3" x14ac:dyDescent="0.25">
      <c r="A102" s="228"/>
      <c r="B102" s="739"/>
      <c r="C102" s="739"/>
    </row>
    <row r="103" spans="1:3" x14ac:dyDescent="0.25">
      <c r="A103" s="228"/>
      <c r="B103" s="739"/>
      <c r="C103" s="739"/>
    </row>
    <row r="104" spans="1:3" x14ac:dyDescent="0.25">
      <c r="A104" s="228"/>
      <c r="B104" s="739"/>
      <c r="C104" s="739"/>
    </row>
    <row r="105" spans="1:3" x14ac:dyDescent="0.25">
      <c r="A105" s="228"/>
      <c r="B105" s="739"/>
      <c r="C105" s="739"/>
    </row>
    <row r="106" spans="1:3" x14ac:dyDescent="0.25">
      <c r="A106" s="228"/>
      <c r="B106" s="739"/>
      <c r="C106" s="739"/>
    </row>
    <row r="107" spans="1:3" x14ac:dyDescent="0.25">
      <c r="A107" s="228"/>
      <c r="B107" s="739"/>
      <c r="C107" s="739"/>
    </row>
    <row r="108" spans="1:3" x14ac:dyDescent="0.25">
      <c r="A108" s="228"/>
      <c r="B108" s="433"/>
      <c r="C108" s="433"/>
    </row>
    <row r="109" spans="1:3" x14ac:dyDescent="0.25">
      <c r="A109" s="228" t="s">
        <v>433</v>
      </c>
      <c r="B109" s="228"/>
      <c r="C109" s="228"/>
    </row>
    <row r="110" spans="1:3" x14ac:dyDescent="0.25">
      <c r="A110" s="228"/>
      <c r="B110" s="739" t="s">
        <v>643</v>
      </c>
      <c r="C110" s="739"/>
    </row>
    <row r="111" spans="1:3" x14ac:dyDescent="0.25">
      <c r="A111" s="228"/>
      <c r="B111" s="739"/>
      <c r="C111" s="739"/>
    </row>
    <row r="112" spans="1:3" x14ac:dyDescent="0.25">
      <c r="A112" s="228"/>
      <c r="B112" s="739"/>
      <c r="C112" s="739"/>
    </row>
    <row r="113" spans="1:3" x14ac:dyDescent="0.25">
      <c r="A113" s="228"/>
      <c r="B113" s="739"/>
      <c r="C113" s="739"/>
    </row>
    <row r="114" spans="1:3" x14ac:dyDescent="0.25">
      <c r="A114" s="228"/>
      <c r="B114" s="739"/>
      <c r="C114" s="739"/>
    </row>
    <row r="115" spans="1:3" x14ac:dyDescent="0.25">
      <c r="A115" s="228"/>
      <c r="B115" s="739"/>
      <c r="C115" s="739"/>
    </row>
    <row r="116" spans="1:3" x14ac:dyDescent="0.25">
      <c r="A116" s="228"/>
      <c r="B116" s="739"/>
      <c r="C116" s="739"/>
    </row>
    <row r="117" spans="1:3" x14ac:dyDescent="0.25">
      <c r="A117" s="228"/>
      <c r="B117" s="430"/>
      <c r="C117" s="430"/>
    </row>
    <row r="118" spans="1:3" x14ac:dyDescent="0.25">
      <c r="A118" s="228" t="s">
        <v>434</v>
      </c>
      <c r="B118" s="228"/>
      <c r="C118" s="228"/>
    </row>
    <row r="119" spans="1:3" x14ac:dyDescent="0.25">
      <c r="A119" s="228"/>
      <c r="B119" s="739" t="s">
        <v>644</v>
      </c>
      <c r="C119" s="739"/>
    </row>
    <row r="120" spans="1:3" x14ac:dyDescent="0.25">
      <c r="A120" s="228"/>
      <c r="B120" s="739"/>
      <c r="C120" s="739"/>
    </row>
    <row r="121" spans="1:3" x14ac:dyDescent="0.25">
      <c r="A121" s="228"/>
      <c r="B121" s="739"/>
      <c r="C121" s="739"/>
    </row>
    <row r="122" spans="1:3" x14ac:dyDescent="0.25">
      <c r="A122" s="228"/>
      <c r="B122" s="739"/>
      <c r="C122" s="739"/>
    </row>
    <row r="123" spans="1:3" x14ac:dyDescent="0.25">
      <c r="A123" s="228"/>
      <c r="B123" s="739"/>
      <c r="C123" s="739"/>
    </row>
    <row r="124" spans="1:3" x14ac:dyDescent="0.25">
      <c r="A124" s="228"/>
      <c r="B124" s="739"/>
      <c r="C124" s="739"/>
    </row>
    <row r="126" spans="1:3" x14ac:dyDescent="0.25">
      <c r="A126" s="587" t="s">
        <v>637</v>
      </c>
      <c r="B126" s="587"/>
      <c r="C126" s="587"/>
    </row>
    <row r="127" spans="1:3" x14ac:dyDescent="0.25">
      <c r="A127" s="587"/>
      <c r="B127" s="737" t="s">
        <v>638</v>
      </c>
      <c r="C127" s="737"/>
    </row>
    <row r="128" spans="1:3" x14ac:dyDescent="0.25">
      <c r="A128" s="587"/>
      <c r="B128" s="737"/>
      <c r="C128" s="737"/>
    </row>
    <row r="129" spans="1:3" x14ac:dyDescent="0.25">
      <c r="A129" s="587"/>
      <c r="B129" s="737"/>
      <c r="C129" s="737"/>
    </row>
  </sheetData>
  <mergeCells count="20">
    <mergeCell ref="B41:C41"/>
    <mergeCell ref="B38:C39"/>
    <mergeCell ref="B3:C3"/>
    <mergeCell ref="B16:C16"/>
    <mergeCell ref="B18:C19"/>
    <mergeCell ref="B26:C26"/>
    <mergeCell ref="B29:C29"/>
    <mergeCell ref="B32:C35"/>
    <mergeCell ref="B46:C54"/>
    <mergeCell ref="B56:C58"/>
    <mergeCell ref="B74:C80"/>
    <mergeCell ref="B61:C64"/>
    <mergeCell ref="B66:C72"/>
    <mergeCell ref="B127:C129"/>
    <mergeCell ref="B87:C88"/>
    <mergeCell ref="B82:C86"/>
    <mergeCell ref="B100:C107"/>
    <mergeCell ref="B110:C116"/>
    <mergeCell ref="B119:C124"/>
    <mergeCell ref="B91:C9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E9"/>
  <sheetViews>
    <sheetView workbookViewId="0">
      <selection activeCell="B4" sqref="B4:C4"/>
    </sheetView>
  </sheetViews>
  <sheetFormatPr defaultColWidth="9.140625" defaultRowHeight="15" x14ac:dyDescent="0.25"/>
  <cols>
    <col min="1" max="1" width="9.140625" style="5"/>
    <col min="2" max="2" width="30.28515625" style="5" customWidth="1"/>
    <col min="3" max="3" width="57.140625" style="5" customWidth="1"/>
    <col min="4" max="16384" width="9.140625" style="5"/>
  </cols>
  <sheetData>
    <row r="1" spans="1:5" x14ac:dyDescent="0.25">
      <c r="E1" s="201" t="s">
        <v>0</v>
      </c>
    </row>
    <row r="2" spans="1:5" x14ac:dyDescent="0.25">
      <c r="C2" s="285" t="str">
        <f>HYPERLINK("#'Index'!a1","&gt;&gt; go to Index")</f>
        <v>&gt;&gt; go to Index</v>
      </c>
      <c r="E2" s="201" t="s">
        <v>0</v>
      </c>
    </row>
    <row r="3" spans="1:5" x14ac:dyDescent="0.25">
      <c r="E3" s="201" t="s">
        <v>0</v>
      </c>
    </row>
    <row r="4" spans="1:5" x14ac:dyDescent="0.25">
      <c r="B4" s="740" t="s">
        <v>380</v>
      </c>
      <c r="C4" s="741"/>
      <c r="E4" s="201" t="s">
        <v>0</v>
      </c>
    </row>
    <row r="5" spans="1:5" x14ac:dyDescent="0.25">
      <c r="C5" s="290"/>
      <c r="E5" s="201" t="s">
        <v>0</v>
      </c>
    </row>
    <row r="6" spans="1:5" x14ac:dyDescent="0.25">
      <c r="B6" s="420" t="s">
        <v>381</v>
      </c>
      <c r="C6" s="560" t="s">
        <v>561</v>
      </c>
      <c r="E6" s="201" t="s">
        <v>0</v>
      </c>
    </row>
    <row r="7" spans="1:5" x14ac:dyDescent="0.25">
      <c r="B7" s="421" t="s">
        <v>382</v>
      </c>
      <c r="C7" s="561" t="s">
        <v>562</v>
      </c>
      <c r="E7" s="201" t="s">
        <v>0</v>
      </c>
    </row>
    <row r="8" spans="1:5" x14ac:dyDescent="0.25">
      <c r="E8" s="201" t="s">
        <v>0</v>
      </c>
    </row>
    <row r="9" spans="1:5" x14ac:dyDescent="0.25">
      <c r="A9" s="201" t="s">
        <v>0</v>
      </c>
      <c r="B9" s="201" t="s">
        <v>0</v>
      </c>
      <c r="C9" s="201" t="s">
        <v>0</v>
      </c>
      <c r="D9" s="201" t="s">
        <v>0</v>
      </c>
      <c r="E9" s="201" t="s">
        <v>0</v>
      </c>
    </row>
  </sheetData>
  <mergeCells count="1">
    <mergeCell ref="B4:C4"/>
  </mergeCells>
  <pageMargins left="0.7" right="0.7" top="0.75" bottom="0.75" header="0.3" footer="0.3"/>
  <ignoredErrors>
    <ignoredError sqref="C2" unlockedFormula="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P34"/>
  <sheetViews>
    <sheetView workbookViewId="0">
      <selection activeCell="B32" sqref="B32"/>
    </sheetView>
  </sheetViews>
  <sheetFormatPr defaultColWidth="9.140625" defaultRowHeight="15" x14ac:dyDescent="0.25"/>
  <cols>
    <col min="1" max="1" width="9.140625" style="5" customWidth="1"/>
    <col min="2" max="2" width="50" style="5" customWidth="1"/>
    <col min="3" max="3" width="14.28515625" style="5" customWidth="1"/>
    <col min="4" max="4" width="2.85546875" style="5" customWidth="1"/>
    <col min="5" max="5" width="50" style="5" customWidth="1"/>
    <col min="6" max="6" width="14.28515625" style="5" customWidth="1"/>
    <col min="7" max="7" width="9.140625" style="5"/>
    <col min="8" max="8" width="57" style="5" customWidth="1"/>
    <col min="9" max="16384" width="9.140625" style="5"/>
  </cols>
  <sheetData>
    <row r="1" spans="1:9" x14ac:dyDescent="0.25">
      <c r="I1" s="201" t="s">
        <v>0</v>
      </c>
    </row>
    <row r="2" spans="1:9" x14ac:dyDescent="0.25">
      <c r="E2" s="743" t="str">
        <f>HYPERLINK("#'Index'!a1","&gt;&gt; go to Index")</f>
        <v>&gt;&gt; go to Index</v>
      </c>
      <c r="F2" s="743"/>
      <c r="I2" s="201" t="s">
        <v>0</v>
      </c>
    </row>
    <row r="3" spans="1:9" x14ac:dyDescent="0.25">
      <c r="I3" s="201" t="s">
        <v>0</v>
      </c>
    </row>
    <row r="4" spans="1:9" x14ac:dyDescent="0.25">
      <c r="B4" s="740" t="s">
        <v>98</v>
      </c>
      <c r="C4" s="741"/>
      <c r="D4" s="741"/>
      <c r="E4" s="741"/>
      <c r="F4" s="742"/>
      <c r="I4" s="201" t="s">
        <v>0</v>
      </c>
    </row>
    <row r="5" spans="1:9" x14ac:dyDescent="0.25">
      <c r="B5" s="46"/>
      <c r="C5" s="47"/>
      <c r="D5" s="26"/>
      <c r="E5" s="47"/>
      <c r="F5" s="48"/>
      <c r="I5" s="201" t="s">
        <v>0</v>
      </c>
    </row>
    <row r="6" spans="1:9" x14ac:dyDescent="0.25">
      <c r="B6" s="740" t="s">
        <v>10</v>
      </c>
      <c r="C6" s="742"/>
      <c r="D6" s="31"/>
      <c r="E6" s="740" t="s">
        <v>11</v>
      </c>
      <c r="F6" s="742"/>
      <c r="I6" s="201" t="s">
        <v>0</v>
      </c>
    </row>
    <row r="7" spans="1:9" x14ac:dyDescent="0.25">
      <c r="A7" s="548" t="s">
        <v>626</v>
      </c>
      <c r="B7" s="40" t="s">
        <v>7</v>
      </c>
      <c r="C7" s="590">
        <f>SUM(C8:C9)</f>
        <v>0</v>
      </c>
      <c r="D7" s="31"/>
      <c r="E7" s="31"/>
      <c r="F7" s="32"/>
      <c r="I7" s="201" t="s">
        <v>0</v>
      </c>
    </row>
    <row r="8" spans="1:9" x14ac:dyDescent="0.25">
      <c r="A8" s="548" t="s">
        <v>627</v>
      </c>
      <c r="B8" s="297" t="s">
        <v>137</v>
      </c>
      <c r="C8" s="206" t="s">
        <v>5</v>
      </c>
      <c r="D8" s="31"/>
      <c r="E8" s="39" t="s">
        <v>13</v>
      </c>
      <c r="F8" s="592">
        <f>SUM(C24)-SUM(F24)</f>
        <v>0</v>
      </c>
      <c r="G8" s="549" t="s">
        <v>636</v>
      </c>
      <c r="H8" s="578" t="str">
        <f>IF(F8&lt;0,"ALERT: EAL should not be negative!","")</f>
        <v/>
      </c>
      <c r="I8" s="201" t="s">
        <v>0</v>
      </c>
    </row>
    <row r="9" spans="1:9" x14ac:dyDescent="0.25">
      <c r="A9" s="548" t="s">
        <v>627</v>
      </c>
      <c r="B9" s="298" t="s">
        <v>138</v>
      </c>
      <c r="C9" s="207" t="s">
        <v>5</v>
      </c>
      <c r="D9" s="31"/>
      <c r="E9" s="31"/>
      <c r="F9" s="58"/>
      <c r="I9" s="201" t="s">
        <v>0</v>
      </c>
    </row>
    <row r="10" spans="1:9" x14ac:dyDescent="0.25">
      <c r="A10" s="548" t="s">
        <v>625</v>
      </c>
      <c r="B10" s="44" t="s">
        <v>21</v>
      </c>
      <c r="C10" s="222" t="s">
        <v>5</v>
      </c>
      <c r="D10" s="31"/>
      <c r="E10" s="31"/>
      <c r="F10" s="58"/>
      <c r="H10" s="578" t="str">
        <f>IF(AND(SUM(F11)=0,(C24-C7-SUM(C10))&gt;(F24-SUM(F15)-SUM(F17:F18))),"ALERT: Risk margin should be non-zero because assets &gt; liabilities!","")</f>
        <v/>
      </c>
      <c r="I10" s="201" t="s">
        <v>0</v>
      </c>
    </row>
    <row r="11" spans="1:9" x14ac:dyDescent="0.25">
      <c r="A11" s="548" t="s">
        <v>622</v>
      </c>
      <c r="B11" s="44" t="s">
        <v>12</v>
      </c>
      <c r="C11" s="222" t="s">
        <v>5</v>
      </c>
      <c r="D11" s="31"/>
      <c r="E11" s="39" t="s">
        <v>14</v>
      </c>
      <c r="F11" s="581" t="s">
        <v>5</v>
      </c>
      <c r="G11" s="549" t="s">
        <v>628</v>
      </c>
      <c r="H11" s="578" t="str">
        <f>IF(AND(SUM(F11)&gt;0,(C24-C7-SUM(C10))&lt;(F24-SUM(F15)-SUM(F17:F18))),"ALERT: Risk margin should be zero because assets &lt; liabilities!","")</f>
        <v/>
      </c>
      <c r="I11" s="201" t="s">
        <v>0</v>
      </c>
    </row>
    <row r="12" spans="1:9" x14ac:dyDescent="0.25">
      <c r="A12" s="548" t="s">
        <v>624</v>
      </c>
      <c r="B12" s="36" t="s">
        <v>20</v>
      </c>
      <c r="C12" s="589">
        <f>SUM(C13,C14,C16,C17,C18)</f>
        <v>0</v>
      </c>
      <c r="D12" s="31"/>
      <c r="E12" s="40" t="s">
        <v>60</v>
      </c>
      <c r="F12" s="589">
        <f>SUM(F13,F14,F16,F17,F18)</f>
        <v>0</v>
      </c>
      <c r="G12" s="549" t="s">
        <v>630</v>
      </c>
      <c r="H12" s="578"/>
      <c r="I12" s="201" t="s">
        <v>0</v>
      </c>
    </row>
    <row r="13" spans="1:9" x14ac:dyDescent="0.25">
      <c r="B13" s="299" t="s">
        <v>111</v>
      </c>
      <c r="C13" s="206" t="s">
        <v>5</v>
      </c>
      <c r="D13" s="31"/>
      <c r="E13" s="297" t="s">
        <v>111</v>
      </c>
      <c r="F13" s="206" t="s">
        <v>5</v>
      </c>
      <c r="G13" s="549" t="s">
        <v>631</v>
      </c>
      <c r="I13" s="201" t="s">
        <v>0</v>
      </c>
    </row>
    <row r="14" spans="1:9" x14ac:dyDescent="0.25">
      <c r="B14" s="297" t="s">
        <v>139</v>
      </c>
      <c r="C14" s="206" t="s">
        <v>5</v>
      </c>
      <c r="D14" s="31"/>
      <c r="E14" s="297" t="s">
        <v>139</v>
      </c>
      <c r="F14" s="41" t="s">
        <v>5</v>
      </c>
      <c r="G14" s="549" t="s">
        <v>632</v>
      </c>
      <c r="I14" s="201" t="s">
        <v>0</v>
      </c>
    </row>
    <row r="15" spans="1:9" x14ac:dyDescent="0.25">
      <c r="B15" s="300" t="s">
        <v>107</v>
      </c>
      <c r="C15" s="206" t="s">
        <v>5</v>
      </c>
      <c r="D15" s="31"/>
      <c r="E15" s="300" t="s">
        <v>107</v>
      </c>
      <c r="F15" s="41" t="s">
        <v>5</v>
      </c>
      <c r="G15" s="549" t="s">
        <v>633</v>
      </c>
      <c r="I15" s="201" t="s">
        <v>0</v>
      </c>
    </row>
    <row r="16" spans="1:9" x14ac:dyDescent="0.25">
      <c r="B16" s="297" t="s">
        <v>140</v>
      </c>
      <c r="C16" s="206" t="s">
        <v>5</v>
      </c>
      <c r="D16" s="31"/>
      <c r="E16" s="297" t="s">
        <v>140</v>
      </c>
      <c r="F16" s="41" t="s">
        <v>5</v>
      </c>
      <c r="G16" s="549" t="s">
        <v>632</v>
      </c>
      <c r="I16" s="201" t="s">
        <v>0</v>
      </c>
    </row>
    <row r="17" spans="1:16" x14ac:dyDescent="0.25">
      <c r="B17" s="297" t="s">
        <v>141</v>
      </c>
      <c r="C17" s="206" t="s">
        <v>5</v>
      </c>
      <c r="D17" s="31"/>
      <c r="E17" s="297" t="s">
        <v>141</v>
      </c>
      <c r="F17" s="41" t="s">
        <v>5</v>
      </c>
      <c r="G17" s="549" t="s">
        <v>634</v>
      </c>
      <c r="I17" s="201" t="s">
        <v>0</v>
      </c>
    </row>
    <row r="18" spans="1:16" x14ac:dyDescent="0.25">
      <c r="B18" s="298" t="s">
        <v>142</v>
      </c>
      <c r="C18" s="207" t="s">
        <v>5</v>
      </c>
      <c r="D18" s="31"/>
      <c r="E18" s="298" t="s">
        <v>142</v>
      </c>
      <c r="F18" s="43" t="s">
        <v>5</v>
      </c>
      <c r="G18" s="549" t="s">
        <v>635</v>
      </c>
      <c r="I18" s="201" t="s">
        <v>0</v>
      </c>
    </row>
    <row r="19" spans="1:16" x14ac:dyDescent="0.25">
      <c r="A19" s="548" t="s">
        <v>622</v>
      </c>
      <c r="B19" s="39" t="s">
        <v>22</v>
      </c>
      <c r="C19" s="222" t="s">
        <v>5</v>
      </c>
      <c r="D19" s="31"/>
      <c r="E19" s="39" t="s">
        <v>61</v>
      </c>
      <c r="F19" s="42" t="s">
        <v>5</v>
      </c>
      <c r="G19" s="549" t="s">
        <v>629</v>
      </c>
      <c r="I19" s="201" t="s">
        <v>0</v>
      </c>
    </row>
    <row r="20" spans="1:16" x14ac:dyDescent="0.25">
      <c r="A20" s="548" t="s">
        <v>623</v>
      </c>
      <c r="B20" s="39" t="s">
        <v>15</v>
      </c>
      <c r="C20" s="222" t="s">
        <v>5</v>
      </c>
      <c r="D20" s="31"/>
      <c r="E20" s="39" t="s">
        <v>16</v>
      </c>
      <c r="F20" s="42" t="s">
        <v>5</v>
      </c>
      <c r="G20" s="549" t="s">
        <v>623</v>
      </c>
      <c r="I20" s="201" t="s">
        <v>0</v>
      </c>
    </row>
    <row r="21" spans="1:16" x14ac:dyDescent="0.25">
      <c r="A21" s="548" t="s">
        <v>622</v>
      </c>
      <c r="B21" s="39" t="s">
        <v>17</v>
      </c>
      <c r="C21" s="222" t="s">
        <v>5</v>
      </c>
      <c r="D21" s="31"/>
      <c r="E21" s="301" t="s">
        <v>323</v>
      </c>
      <c r="F21" s="45" t="s">
        <v>5</v>
      </c>
      <c r="G21" s="549" t="s">
        <v>622</v>
      </c>
      <c r="I21" s="201" t="s">
        <v>0</v>
      </c>
    </row>
    <row r="22" spans="1:16" x14ac:dyDescent="0.25">
      <c r="B22" s="25"/>
      <c r="C22" s="78"/>
      <c r="D22" s="31"/>
      <c r="E22" s="26"/>
      <c r="F22" s="49"/>
      <c r="I22" s="201" t="s">
        <v>0</v>
      </c>
    </row>
    <row r="23" spans="1:16" x14ac:dyDescent="0.25">
      <c r="B23" s="62"/>
      <c r="C23" s="81"/>
      <c r="D23" s="31"/>
      <c r="E23" s="31"/>
      <c r="F23" s="58"/>
      <c r="I23" s="201" t="s">
        <v>0</v>
      </c>
    </row>
    <row r="24" spans="1:16" x14ac:dyDescent="0.25">
      <c r="B24" s="21" t="s">
        <v>9</v>
      </c>
      <c r="C24" s="591">
        <f>SUM(C7,C10,C11,C12,C19,C20,C21)</f>
        <v>0</v>
      </c>
      <c r="D24" s="29"/>
      <c r="E24" s="22" t="s">
        <v>6</v>
      </c>
      <c r="F24" s="591">
        <f>SUM(F11,F12,F19,F20,F21)</f>
        <v>0</v>
      </c>
      <c r="I24" s="201" t="s">
        <v>0</v>
      </c>
    </row>
    <row r="25" spans="1:16" x14ac:dyDescent="0.25">
      <c r="I25" s="201" t="s">
        <v>0</v>
      </c>
    </row>
    <row r="26" spans="1:16" x14ac:dyDescent="0.25">
      <c r="A26" s="201" t="s">
        <v>0</v>
      </c>
      <c r="B26" s="201" t="s">
        <v>0</v>
      </c>
      <c r="C26" s="201" t="s">
        <v>0</v>
      </c>
      <c r="D26" s="201" t="s">
        <v>0</v>
      </c>
      <c r="E26" s="201" t="s">
        <v>0</v>
      </c>
      <c r="F26" s="201" t="s">
        <v>0</v>
      </c>
      <c r="G26" s="201" t="s">
        <v>0</v>
      </c>
      <c r="H26" s="201" t="s">
        <v>0</v>
      </c>
      <c r="I26" s="201" t="s">
        <v>0</v>
      </c>
    </row>
    <row r="28" spans="1:16" x14ac:dyDescent="0.25">
      <c r="C28" s="564"/>
    </row>
    <row r="31" spans="1:16" x14ac:dyDescent="0.25">
      <c r="M31" s="18"/>
      <c r="N31" s="18"/>
      <c r="O31" s="18"/>
      <c r="P31" s="18"/>
    </row>
    <row r="32" spans="1:16" x14ac:dyDescent="0.25">
      <c r="M32" s="18"/>
      <c r="N32" s="18"/>
      <c r="O32" s="18"/>
      <c r="P32" s="18"/>
    </row>
    <row r="33" spans="13:16" x14ac:dyDescent="0.25">
      <c r="M33" s="18"/>
      <c r="N33" s="18"/>
      <c r="O33" s="18"/>
      <c r="P33" s="18"/>
    </row>
    <row r="34" spans="13:16" x14ac:dyDescent="0.25">
      <c r="M34" s="18"/>
      <c r="N34" s="18"/>
      <c r="O34" s="18"/>
      <c r="P34" s="18"/>
    </row>
  </sheetData>
  <sheetProtection selectLockedCells="1"/>
  <mergeCells count="4">
    <mergeCell ref="B4:F4"/>
    <mergeCell ref="E2:F2"/>
    <mergeCell ref="E6:F6"/>
    <mergeCell ref="B6:C6"/>
  </mergeCells>
  <dataValidations count="1">
    <dataValidation type="decimal" operator="lessThanOrEqual" allowBlank="1" showInputMessage="1" showErrorMessage="1" errorTitle="Non-negative input" error="Adjustment needs to have negative value" prompt="Please enter a negative value, if relevant" sqref="F15 F17:F18">
      <formula1>0</formula1>
    </dataValidation>
  </dataValidations>
  <pageMargins left="0.7" right="0.7" top="0.75" bottom="0.75" header="0.3" footer="0.3"/>
  <pageSetup paperSize="9" orientation="portrait" r:id="rId1"/>
  <ignoredErrors>
    <ignoredError sqref="E2 C24 F8 F12 F24" unlocked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AB164"/>
  <sheetViews>
    <sheetView zoomScaleNormal="100" workbookViewId="0">
      <selection activeCell="B1" sqref="B1"/>
    </sheetView>
  </sheetViews>
  <sheetFormatPr defaultColWidth="9.140625" defaultRowHeight="15" customHeight="1" x14ac:dyDescent="0.25"/>
  <cols>
    <col min="1" max="1" width="9.140625" style="200"/>
    <col min="2" max="2" width="35" style="200" customWidth="1"/>
    <col min="3" max="26" width="14.28515625" style="200" customWidth="1"/>
    <col min="27" max="28" width="9.140625" style="200"/>
    <col min="29" max="34" width="9.140625" style="200" customWidth="1"/>
    <col min="35" max="16384" width="9.140625" style="200"/>
  </cols>
  <sheetData>
    <row r="1" spans="1:28" ht="15" customHeight="1" x14ac:dyDescent="0.25">
      <c r="A1" s="199"/>
      <c r="E1" s="199"/>
      <c r="F1" s="199"/>
      <c r="G1" s="199"/>
      <c r="H1" s="199"/>
      <c r="I1" s="199"/>
      <c r="J1" s="199"/>
      <c r="K1" s="199"/>
      <c r="L1" s="199"/>
      <c r="M1" s="199"/>
      <c r="N1" s="199"/>
      <c r="O1" s="199"/>
      <c r="P1" s="199"/>
      <c r="Q1" s="199"/>
      <c r="R1" s="199"/>
      <c r="S1" s="199"/>
      <c r="T1" s="199"/>
      <c r="U1" s="199"/>
      <c r="V1" s="199"/>
      <c r="W1" s="199"/>
      <c r="X1" s="199"/>
      <c r="Y1" s="199"/>
      <c r="Z1" s="199"/>
      <c r="AA1" s="199"/>
      <c r="AB1" s="201" t="s">
        <v>0</v>
      </c>
    </row>
    <row r="2" spans="1:28" ht="15" customHeight="1" x14ac:dyDescent="0.25">
      <c r="A2" s="199"/>
      <c r="E2" s="202" t="str">
        <f>IF(AND(I11="-",J11="-"),"ALERT: Risk-free rate and, if relevant, inflation curves (provided annually by EIOPA) not completed in columns I and J!","")</f>
        <v>ALERT: Risk-free rate and, if relevant, inflation curves (provided annually by EIOPA) not completed in columns I and J!</v>
      </c>
      <c r="F2" s="578"/>
      <c r="G2" s="199"/>
      <c r="H2" s="199"/>
      <c r="I2" s="199"/>
      <c r="J2" s="286"/>
      <c r="K2" s="199"/>
      <c r="L2" s="199"/>
      <c r="M2" s="199"/>
      <c r="N2" s="199"/>
      <c r="O2" s="199"/>
      <c r="P2" s="199"/>
      <c r="Q2" s="199"/>
      <c r="R2" s="199"/>
      <c r="S2" s="199"/>
      <c r="T2" s="199"/>
      <c r="U2" s="199"/>
      <c r="V2" s="199"/>
      <c r="W2" s="199"/>
      <c r="X2" s="199"/>
      <c r="Y2" s="747" t="str">
        <f>HYPERLINK("#'Index'!a1","&gt;&gt; go to Index")</f>
        <v>&gt;&gt; go to Index</v>
      </c>
      <c r="Z2" s="747"/>
      <c r="AB2" s="201" t="s">
        <v>0</v>
      </c>
    </row>
    <row r="3" spans="1:28" ht="15" customHeight="1" x14ac:dyDescent="0.25">
      <c r="A3" s="199"/>
      <c r="E3" s="199" t="str">
        <f>IF(AND(I11="-",ISNUMBER(J11)),"ALERT: Risk-free rate curve (provided annually by EIOPA) not completed in columns I!","")</f>
        <v/>
      </c>
      <c r="F3" s="199"/>
      <c r="G3" s="199"/>
      <c r="H3" s="199"/>
      <c r="I3" s="199"/>
      <c r="J3" s="199"/>
      <c r="K3" s="199"/>
      <c r="L3" s="199"/>
      <c r="M3" s="199"/>
      <c r="N3" s="199"/>
      <c r="O3" s="199"/>
      <c r="P3" s="199"/>
      <c r="Q3" s="199"/>
      <c r="R3" s="199"/>
      <c r="S3" s="199"/>
      <c r="T3" s="199"/>
      <c r="U3" s="199"/>
      <c r="V3" s="199"/>
      <c r="W3" s="199"/>
      <c r="X3" s="199"/>
      <c r="Y3" s="199"/>
      <c r="Z3" s="199"/>
      <c r="AB3" s="201" t="s">
        <v>0</v>
      </c>
    </row>
    <row r="4" spans="1:28" ht="15" customHeight="1" x14ac:dyDescent="0.25">
      <c r="A4" s="203"/>
      <c r="B4" s="748" t="s">
        <v>321</v>
      </c>
      <c r="C4" s="749"/>
      <c r="D4" s="749"/>
      <c r="E4" s="749"/>
      <c r="F4" s="749"/>
      <c r="G4" s="749"/>
      <c r="H4" s="749"/>
      <c r="I4" s="749"/>
      <c r="J4" s="749"/>
      <c r="K4" s="749"/>
      <c r="L4" s="749"/>
      <c r="M4" s="749"/>
      <c r="N4" s="749"/>
      <c r="O4" s="749"/>
      <c r="P4" s="749"/>
      <c r="Q4" s="749"/>
      <c r="R4" s="749"/>
      <c r="S4" s="749"/>
      <c r="T4" s="749"/>
      <c r="U4" s="749"/>
      <c r="V4" s="749"/>
      <c r="W4" s="749"/>
      <c r="X4" s="749"/>
      <c r="Y4" s="749"/>
      <c r="Z4" s="750"/>
      <c r="AB4" s="201" t="s">
        <v>0</v>
      </c>
    </row>
    <row r="5" spans="1:28" ht="15" customHeight="1" x14ac:dyDescent="0.25">
      <c r="A5" s="203"/>
      <c r="B5" s="25"/>
      <c r="C5" s="26"/>
      <c r="D5" s="26"/>
      <c r="E5" s="26"/>
      <c r="F5" s="26"/>
      <c r="G5" s="26"/>
      <c r="H5" s="26"/>
      <c r="I5" s="26"/>
      <c r="J5" s="26"/>
      <c r="K5" s="26"/>
      <c r="L5" s="26"/>
      <c r="M5" s="26"/>
      <c r="N5" s="26"/>
      <c r="O5" s="26"/>
      <c r="P5" s="26"/>
      <c r="Q5" s="26"/>
      <c r="R5" s="26"/>
      <c r="S5" s="26"/>
      <c r="T5" s="26"/>
      <c r="U5" s="26"/>
      <c r="V5" s="26"/>
      <c r="W5" s="26"/>
      <c r="X5" s="26"/>
      <c r="Y5" s="26"/>
      <c r="Z5" s="27"/>
      <c r="AB5" s="201" t="s">
        <v>0</v>
      </c>
    </row>
    <row r="6" spans="1:28" ht="15" customHeight="1" x14ac:dyDescent="0.25">
      <c r="A6" s="5"/>
      <c r="B6" s="445" t="s">
        <v>322</v>
      </c>
      <c r="C6" s="208">
        <f>SUMPRODUCT(C11:C160,$V11:$V160)</f>
        <v>0</v>
      </c>
      <c r="D6" s="208">
        <f>SUMPRODUCT(D11:D160,W11:W160)</f>
        <v>0</v>
      </c>
      <c r="E6" s="208">
        <f>SUMPRODUCT(E11:E160,X11:X160)</f>
        <v>0</v>
      </c>
      <c r="F6" s="208">
        <f>SUMPRODUCT(F11:F160,Y11:Y160)</f>
        <v>0</v>
      </c>
      <c r="G6" s="208">
        <f>SUMPRODUCT(G11:G160,Z11:Z160)</f>
        <v>0</v>
      </c>
      <c r="H6" s="31"/>
      <c r="I6" s="31"/>
      <c r="J6" s="31"/>
      <c r="K6" s="31"/>
      <c r="L6" s="31"/>
      <c r="M6" s="31"/>
      <c r="N6" s="31"/>
      <c r="O6" s="31"/>
      <c r="P6" s="31"/>
      <c r="Q6" s="31"/>
      <c r="R6" s="31"/>
      <c r="S6" s="31"/>
      <c r="T6" s="31"/>
      <c r="U6" s="31"/>
      <c r="V6" s="31"/>
      <c r="W6" s="31"/>
      <c r="X6" s="31"/>
      <c r="Y6" s="31"/>
      <c r="Z6" s="32"/>
      <c r="AB6" s="201" t="s">
        <v>0</v>
      </c>
    </row>
    <row r="7" spans="1:28" x14ac:dyDescent="0.25">
      <c r="A7" s="5"/>
      <c r="B7" s="62"/>
      <c r="C7" s="31"/>
      <c r="D7" s="31"/>
      <c r="E7" s="31"/>
      <c r="F7" s="31"/>
      <c r="G7" s="31"/>
      <c r="H7" s="31"/>
      <c r="I7" s="31"/>
      <c r="J7" s="31"/>
      <c r="K7" s="31"/>
      <c r="L7" s="31"/>
      <c r="M7" s="31"/>
      <c r="N7" s="31"/>
      <c r="O7" s="31"/>
      <c r="P7" s="31"/>
      <c r="Q7" s="31"/>
      <c r="R7" s="31"/>
      <c r="S7" s="31"/>
      <c r="T7" s="31"/>
      <c r="U7" s="31"/>
      <c r="V7" s="31"/>
      <c r="W7" s="31"/>
      <c r="X7" s="31"/>
      <c r="Y7" s="31"/>
      <c r="Z7" s="32"/>
      <c r="AB7" s="201" t="s">
        <v>0</v>
      </c>
    </row>
    <row r="8" spans="1:28" x14ac:dyDescent="0.25">
      <c r="A8" s="5"/>
      <c r="B8" s="62"/>
      <c r="C8" s="746" t="s">
        <v>453</v>
      </c>
      <c r="D8" s="744"/>
      <c r="E8" s="744"/>
      <c r="F8" s="744"/>
      <c r="G8" s="745"/>
      <c r="H8" s="31"/>
      <c r="I8" s="29"/>
      <c r="J8" s="29"/>
      <c r="K8" s="751" t="s">
        <v>383</v>
      </c>
      <c r="L8" s="752"/>
      <c r="M8" s="752"/>
      <c r="N8" s="752"/>
      <c r="O8" s="752"/>
      <c r="P8" s="752"/>
      <c r="Q8" s="752"/>
      <c r="R8" s="752"/>
      <c r="S8" s="752"/>
      <c r="T8" s="753"/>
      <c r="U8" s="31"/>
      <c r="V8" s="746" t="s">
        <v>229</v>
      </c>
      <c r="W8" s="744"/>
      <c r="X8" s="744"/>
      <c r="Y8" s="744"/>
      <c r="Z8" s="745"/>
      <c r="AB8" s="201" t="s">
        <v>0</v>
      </c>
    </row>
    <row r="9" spans="1:28" ht="15" customHeight="1" x14ac:dyDescent="0.25">
      <c r="A9" s="5"/>
      <c r="B9" s="62"/>
      <c r="C9" s="16" t="s">
        <v>312</v>
      </c>
      <c r="D9" s="746" t="s">
        <v>313</v>
      </c>
      <c r="E9" s="745"/>
      <c r="F9" s="746" t="s">
        <v>319</v>
      </c>
      <c r="G9" s="745"/>
      <c r="H9" s="31"/>
      <c r="I9" s="746" t="s">
        <v>312</v>
      </c>
      <c r="J9" s="745"/>
      <c r="K9" s="746" t="s">
        <v>450</v>
      </c>
      <c r="L9" s="745"/>
      <c r="M9" s="746" t="s">
        <v>451</v>
      </c>
      <c r="N9" s="745"/>
      <c r="O9" s="744" t="s">
        <v>313</v>
      </c>
      <c r="P9" s="745"/>
      <c r="Q9" s="746" t="s">
        <v>319</v>
      </c>
      <c r="R9" s="744"/>
      <c r="S9" s="744"/>
      <c r="T9" s="745"/>
      <c r="U9" s="31"/>
      <c r="V9" s="16" t="s">
        <v>312</v>
      </c>
      <c r="W9" s="746" t="s">
        <v>313</v>
      </c>
      <c r="X9" s="745"/>
      <c r="Y9" s="746" t="s">
        <v>319</v>
      </c>
      <c r="Z9" s="745"/>
      <c r="AB9" s="201" t="s">
        <v>0</v>
      </c>
    </row>
    <row r="10" spans="1:28" ht="75" x14ac:dyDescent="0.25">
      <c r="A10" s="204"/>
      <c r="B10" s="198" t="s">
        <v>228</v>
      </c>
      <c r="C10" s="197" t="s">
        <v>320</v>
      </c>
      <c r="D10" s="197" t="s">
        <v>314</v>
      </c>
      <c r="E10" s="197" t="s">
        <v>315</v>
      </c>
      <c r="F10" s="197" t="s">
        <v>454</v>
      </c>
      <c r="G10" s="197" t="s">
        <v>455</v>
      </c>
      <c r="H10" s="31"/>
      <c r="I10" s="197" t="s">
        <v>320</v>
      </c>
      <c r="J10" s="196" t="s">
        <v>311</v>
      </c>
      <c r="K10" s="197" t="s">
        <v>384</v>
      </c>
      <c r="L10" s="197" t="s">
        <v>385</v>
      </c>
      <c r="M10" s="197" t="s">
        <v>384</v>
      </c>
      <c r="N10" s="197" t="s">
        <v>385</v>
      </c>
      <c r="O10" s="576" t="s">
        <v>314</v>
      </c>
      <c r="P10" s="576" t="s">
        <v>315</v>
      </c>
      <c r="Q10" s="576" t="s">
        <v>314</v>
      </c>
      <c r="R10" s="576" t="s">
        <v>316</v>
      </c>
      <c r="S10" s="576" t="s">
        <v>317</v>
      </c>
      <c r="T10" s="576" t="s">
        <v>318</v>
      </c>
      <c r="U10" s="31"/>
      <c r="V10" s="576" t="s">
        <v>320</v>
      </c>
      <c r="W10" s="576" t="s">
        <v>314</v>
      </c>
      <c r="X10" s="576" t="s">
        <v>315</v>
      </c>
      <c r="Y10" s="576" t="s">
        <v>314</v>
      </c>
      <c r="Z10" s="576" t="s">
        <v>315</v>
      </c>
      <c r="AB10" s="201" t="s">
        <v>0</v>
      </c>
    </row>
    <row r="11" spans="1:28" ht="15" customHeight="1" x14ac:dyDescent="0.25">
      <c r="A11" s="204"/>
      <c r="B11" s="302">
        <v>1</v>
      </c>
      <c r="C11" s="205" t="s">
        <v>5</v>
      </c>
      <c r="D11" s="205" t="s">
        <v>5</v>
      </c>
      <c r="E11" s="205" t="s">
        <v>5</v>
      </c>
      <c r="F11" s="205" t="s">
        <v>5</v>
      </c>
      <c r="G11" s="205" t="s">
        <v>5</v>
      </c>
      <c r="H11" s="444"/>
      <c r="I11" s="582" t="s">
        <v>5</v>
      </c>
      <c r="J11" s="582" t="s">
        <v>5</v>
      </c>
      <c r="K11" s="287">
        <v>-0.75</v>
      </c>
      <c r="L11" s="287">
        <v>0.7</v>
      </c>
      <c r="M11" s="287">
        <v>-0.53</v>
      </c>
      <c r="N11" s="574">
        <v>0.49</v>
      </c>
      <c r="O11" s="593" t="str">
        <f>IF(ISNUMBER(I11),IF(I11&lt;0,I11,I11*(1+K11)),"-")</f>
        <v>-</v>
      </c>
      <c r="P11" s="593" t="str">
        <f>IF(ISNUMBER(I11),I11+MAX(0.01,L11*ABS(I11)),"-")</f>
        <v>-</v>
      </c>
      <c r="Q11" s="594" t="str">
        <f>IF(ISNUMBER(I11),IF(I11&lt;0,I11,I11*(1+M11)),"-")</f>
        <v>-</v>
      </c>
      <c r="R11" s="595" t="str">
        <f>IF(ISNUMBER(I11),I11+MAX(0.007,N11*ABS(I11)),"-")</f>
        <v>-</v>
      </c>
      <c r="S11" s="594" t="str">
        <f>IF(ISNUMBER(I11),J11+(Q11-I11),"-")</f>
        <v>-</v>
      </c>
      <c r="T11" s="596" t="str">
        <f>IF(ISNUMBER(I11),J11+(R11-I11),"-")</f>
        <v>-</v>
      </c>
      <c r="U11" s="31"/>
      <c r="V11" s="605" t="str">
        <f>IF(ISNUMBER(I11),(1+I11)^(-$B11),"-")</f>
        <v>-</v>
      </c>
      <c r="W11" s="606" t="str">
        <f>IF(ISNUMBER(O11),(1+O11)^(-$B11),"-")</f>
        <v>-</v>
      </c>
      <c r="X11" s="607" t="str">
        <f>IF(ISNUMBER(P11),(1+P11)^(-$B11),"-")</f>
        <v>-</v>
      </c>
      <c r="Y11" s="608" t="str">
        <f>IF(ISNUMBER(Q11),(1+Q11)^(-$B11),"-")</f>
        <v>-</v>
      </c>
      <c r="Z11" s="609" t="str">
        <f>IF(ISNUMBER(R11),(1+R11)^(-$B11),"-")</f>
        <v>-</v>
      </c>
      <c r="AB11" s="201" t="s">
        <v>0</v>
      </c>
    </row>
    <row r="12" spans="1:28" ht="15" customHeight="1" x14ac:dyDescent="0.25">
      <c r="A12" s="5"/>
      <c r="B12" s="38">
        <v>2</v>
      </c>
      <c r="C12" s="205" t="s">
        <v>5</v>
      </c>
      <c r="D12" s="205" t="s">
        <v>5</v>
      </c>
      <c r="E12" s="205" t="s">
        <v>5</v>
      </c>
      <c r="F12" s="205" t="s">
        <v>5</v>
      </c>
      <c r="G12" s="205" t="s">
        <v>5</v>
      </c>
      <c r="H12" s="444"/>
      <c r="I12" s="582" t="s">
        <v>5</v>
      </c>
      <c r="J12" s="582" t="s">
        <v>5</v>
      </c>
      <c r="K12" s="287">
        <v>-0.65</v>
      </c>
      <c r="L12" s="287">
        <v>0.7</v>
      </c>
      <c r="M12" s="287">
        <v>-0.46</v>
      </c>
      <c r="N12" s="574">
        <v>0.49</v>
      </c>
      <c r="O12" s="597" t="str">
        <f t="shared" ref="O12:O75" si="0">IF(ISNUMBER(I12),IF(I12&lt;0,I12,I12*(1+K12)),"-")</f>
        <v>-</v>
      </c>
      <c r="P12" s="597" t="str">
        <f t="shared" ref="P12:P75" si="1">IF(ISNUMBER(I12),I12+MAX(0.01,L12*ABS(I12)),"-")</f>
        <v>-</v>
      </c>
      <c r="Q12" s="598" t="str">
        <f t="shared" ref="Q12:Q75" si="2">IF(ISNUMBER(I12),IF(I12&lt;0,I12,I12*(1+M12)),"-")</f>
        <v>-</v>
      </c>
      <c r="R12" s="599" t="str">
        <f t="shared" ref="R12:R75" si="3">IF(ISNUMBER(I12),I12+MAX(0.007,N12*ABS(I12)),"-")</f>
        <v>-</v>
      </c>
      <c r="S12" s="598" t="str">
        <f t="shared" ref="S12:S75" si="4">IF(ISNUMBER(I12),J12+(Q12-I12),"-")</f>
        <v>-</v>
      </c>
      <c r="T12" s="600" t="str">
        <f t="shared" ref="T12:T75" si="5">IF(ISNUMBER(I12),J12+(R12-I12),"-")</f>
        <v>-</v>
      </c>
      <c r="U12" s="31"/>
      <c r="V12" s="610" t="str">
        <f t="shared" ref="V12:V75" si="6">IF(ISNUMBER(I12),(1+I12)^(-$B12),"-")</f>
        <v>-</v>
      </c>
      <c r="W12" s="611" t="str">
        <f t="shared" ref="W12:W75" si="7">IF(ISNUMBER(O12),(1+O12)^(-$B12),"-")</f>
        <v>-</v>
      </c>
      <c r="X12" s="612" t="str">
        <f t="shared" ref="X12:X75" si="8">IF(ISNUMBER(P12),(1+P12)^(-$B12),"-")</f>
        <v>-</v>
      </c>
      <c r="Y12" s="613" t="str">
        <f t="shared" ref="Y12:Y75" si="9">IF(ISNUMBER(Q12),(1+Q12)^(-$B12),"-")</f>
        <v>-</v>
      </c>
      <c r="Z12" s="614" t="str">
        <f t="shared" ref="Z12:Z75" si="10">IF(ISNUMBER(R12),(1+R12)^(-$B12),"-")</f>
        <v>-</v>
      </c>
      <c r="AB12" s="201" t="s">
        <v>0</v>
      </c>
    </row>
    <row r="13" spans="1:28" ht="15" customHeight="1" x14ac:dyDescent="0.25">
      <c r="A13" s="5"/>
      <c r="B13" s="303">
        <v>3</v>
      </c>
      <c r="C13" s="205" t="s">
        <v>5</v>
      </c>
      <c r="D13" s="205" t="s">
        <v>5</v>
      </c>
      <c r="E13" s="205" t="s">
        <v>5</v>
      </c>
      <c r="F13" s="205" t="s">
        <v>5</v>
      </c>
      <c r="G13" s="205" t="s">
        <v>5</v>
      </c>
      <c r="H13" s="444"/>
      <c r="I13" s="582" t="s">
        <v>5</v>
      </c>
      <c r="J13" s="582" t="s">
        <v>5</v>
      </c>
      <c r="K13" s="287">
        <v>-0.56000000000000005</v>
      </c>
      <c r="L13" s="287">
        <v>0.64</v>
      </c>
      <c r="M13" s="287">
        <v>-0.39</v>
      </c>
      <c r="N13" s="574">
        <v>0.45</v>
      </c>
      <c r="O13" s="597" t="str">
        <f t="shared" si="0"/>
        <v>-</v>
      </c>
      <c r="P13" s="597" t="str">
        <f t="shared" si="1"/>
        <v>-</v>
      </c>
      <c r="Q13" s="598" t="str">
        <f t="shared" si="2"/>
        <v>-</v>
      </c>
      <c r="R13" s="599" t="str">
        <f t="shared" si="3"/>
        <v>-</v>
      </c>
      <c r="S13" s="598" t="str">
        <f t="shared" si="4"/>
        <v>-</v>
      </c>
      <c r="T13" s="600" t="str">
        <f t="shared" si="5"/>
        <v>-</v>
      </c>
      <c r="U13" s="31"/>
      <c r="V13" s="610" t="str">
        <f t="shared" si="6"/>
        <v>-</v>
      </c>
      <c r="W13" s="611" t="str">
        <f t="shared" si="7"/>
        <v>-</v>
      </c>
      <c r="X13" s="612" t="str">
        <f t="shared" si="8"/>
        <v>-</v>
      </c>
      <c r="Y13" s="613" t="str">
        <f t="shared" si="9"/>
        <v>-</v>
      </c>
      <c r="Z13" s="614" t="str">
        <f t="shared" si="10"/>
        <v>-</v>
      </c>
      <c r="AB13" s="201" t="s">
        <v>0</v>
      </c>
    </row>
    <row r="14" spans="1:28" ht="15" customHeight="1" x14ac:dyDescent="0.25">
      <c r="A14" s="5"/>
      <c r="B14" s="38">
        <v>4</v>
      </c>
      <c r="C14" s="205" t="s">
        <v>5</v>
      </c>
      <c r="D14" s="205" t="s">
        <v>5</v>
      </c>
      <c r="E14" s="205" t="s">
        <v>5</v>
      </c>
      <c r="F14" s="205" t="s">
        <v>5</v>
      </c>
      <c r="G14" s="205" t="s">
        <v>5</v>
      </c>
      <c r="H14" s="444"/>
      <c r="I14" s="582" t="s">
        <v>5</v>
      </c>
      <c r="J14" s="582" t="s">
        <v>5</v>
      </c>
      <c r="K14" s="287">
        <v>-0.5</v>
      </c>
      <c r="L14" s="287">
        <v>0.59</v>
      </c>
      <c r="M14" s="287">
        <v>-0.35</v>
      </c>
      <c r="N14" s="574">
        <v>0.41</v>
      </c>
      <c r="O14" s="597" t="str">
        <f t="shared" si="0"/>
        <v>-</v>
      </c>
      <c r="P14" s="597" t="str">
        <f t="shared" si="1"/>
        <v>-</v>
      </c>
      <c r="Q14" s="598" t="str">
        <f t="shared" si="2"/>
        <v>-</v>
      </c>
      <c r="R14" s="599" t="str">
        <f t="shared" si="3"/>
        <v>-</v>
      </c>
      <c r="S14" s="598" t="str">
        <f t="shared" si="4"/>
        <v>-</v>
      </c>
      <c r="T14" s="600" t="str">
        <f t="shared" si="5"/>
        <v>-</v>
      </c>
      <c r="U14" s="31"/>
      <c r="V14" s="610" t="str">
        <f t="shared" si="6"/>
        <v>-</v>
      </c>
      <c r="W14" s="611" t="str">
        <f t="shared" si="7"/>
        <v>-</v>
      </c>
      <c r="X14" s="612" t="str">
        <f t="shared" si="8"/>
        <v>-</v>
      </c>
      <c r="Y14" s="613" t="str">
        <f t="shared" si="9"/>
        <v>-</v>
      </c>
      <c r="Z14" s="614" t="str">
        <f t="shared" si="10"/>
        <v>-</v>
      </c>
      <c r="AB14" s="201" t="s">
        <v>0</v>
      </c>
    </row>
    <row r="15" spans="1:28" ht="15" customHeight="1" x14ac:dyDescent="0.25">
      <c r="A15" s="5"/>
      <c r="B15" s="303">
        <v>5</v>
      </c>
      <c r="C15" s="205" t="s">
        <v>5</v>
      </c>
      <c r="D15" s="205" t="s">
        <v>5</v>
      </c>
      <c r="E15" s="205" t="s">
        <v>5</v>
      </c>
      <c r="F15" s="205" t="s">
        <v>5</v>
      </c>
      <c r="G15" s="205" t="s">
        <v>5</v>
      </c>
      <c r="H15" s="444"/>
      <c r="I15" s="582" t="s">
        <v>5</v>
      </c>
      <c r="J15" s="582" t="s">
        <v>5</v>
      </c>
      <c r="K15" s="287">
        <v>-0.46</v>
      </c>
      <c r="L15" s="287">
        <v>0.55000000000000004</v>
      </c>
      <c r="M15" s="287">
        <v>-0.32</v>
      </c>
      <c r="N15" s="574">
        <v>0.39</v>
      </c>
      <c r="O15" s="597" t="str">
        <f t="shared" si="0"/>
        <v>-</v>
      </c>
      <c r="P15" s="597" t="str">
        <f t="shared" si="1"/>
        <v>-</v>
      </c>
      <c r="Q15" s="598" t="str">
        <f t="shared" si="2"/>
        <v>-</v>
      </c>
      <c r="R15" s="599" t="str">
        <f t="shared" si="3"/>
        <v>-</v>
      </c>
      <c r="S15" s="598" t="str">
        <f t="shared" si="4"/>
        <v>-</v>
      </c>
      <c r="T15" s="600" t="str">
        <f t="shared" si="5"/>
        <v>-</v>
      </c>
      <c r="U15" s="31"/>
      <c r="V15" s="610" t="str">
        <f t="shared" si="6"/>
        <v>-</v>
      </c>
      <c r="W15" s="611" t="str">
        <f t="shared" si="7"/>
        <v>-</v>
      </c>
      <c r="X15" s="612" t="str">
        <f t="shared" si="8"/>
        <v>-</v>
      </c>
      <c r="Y15" s="613" t="str">
        <f t="shared" si="9"/>
        <v>-</v>
      </c>
      <c r="Z15" s="614" t="str">
        <f t="shared" si="10"/>
        <v>-</v>
      </c>
      <c r="AB15" s="201" t="s">
        <v>0</v>
      </c>
    </row>
    <row r="16" spans="1:28" ht="15" customHeight="1" x14ac:dyDescent="0.25">
      <c r="A16" s="5"/>
      <c r="B16" s="38">
        <v>6</v>
      </c>
      <c r="C16" s="205" t="s">
        <v>5</v>
      </c>
      <c r="D16" s="205" t="s">
        <v>5</v>
      </c>
      <c r="E16" s="205" t="s">
        <v>5</v>
      </c>
      <c r="F16" s="205" t="s">
        <v>5</v>
      </c>
      <c r="G16" s="205" t="s">
        <v>5</v>
      </c>
      <c r="H16" s="444"/>
      <c r="I16" s="582" t="s">
        <v>5</v>
      </c>
      <c r="J16" s="582" t="s">
        <v>5</v>
      </c>
      <c r="K16" s="287">
        <v>-0.42</v>
      </c>
      <c r="L16" s="287">
        <v>0.52</v>
      </c>
      <c r="M16" s="287">
        <v>-0.28999999999999998</v>
      </c>
      <c r="N16" s="574">
        <v>0.36</v>
      </c>
      <c r="O16" s="597" t="str">
        <f t="shared" si="0"/>
        <v>-</v>
      </c>
      <c r="P16" s="597" t="str">
        <f t="shared" si="1"/>
        <v>-</v>
      </c>
      <c r="Q16" s="598" t="str">
        <f t="shared" si="2"/>
        <v>-</v>
      </c>
      <c r="R16" s="599" t="str">
        <f t="shared" si="3"/>
        <v>-</v>
      </c>
      <c r="S16" s="598" t="str">
        <f t="shared" si="4"/>
        <v>-</v>
      </c>
      <c r="T16" s="600" t="str">
        <f t="shared" si="5"/>
        <v>-</v>
      </c>
      <c r="U16" s="31"/>
      <c r="V16" s="610" t="str">
        <f t="shared" si="6"/>
        <v>-</v>
      </c>
      <c r="W16" s="611" t="str">
        <f t="shared" si="7"/>
        <v>-</v>
      </c>
      <c r="X16" s="612" t="str">
        <f t="shared" si="8"/>
        <v>-</v>
      </c>
      <c r="Y16" s="613" t="str">
        <f t="shared" si="9"/>
        <v>-</v>
      </c>
      <c r="Z16" s="614" t="str">
        <f t="shared" si="10"/>
        <v>-</v>
      </c>
      <c r="AB16" s="201" t="s">
        <v>0</v>
      </c>
    </row>
    <row r="17" spans="1:28" ht="15" customHeight="1" x14ac:dyDescent="0.25">
      <c r="A17" s="5"/>
      <c r="B17" s="303">
        <v>7</v>
      </c>
      <c r="C17" s="205" t="s">
        <v>5</v>
      </c>
      <c r="D17" s="205" t="s">
        <v>5</v>
      </c>
      <c r="E17" s="205" t="s">
        <v>5</v>
      </c>
      <c r="F17" s="205" t="s">
        <v>5</v>
      </c>
      <c r="G17" s="205" t="s">
        <v>5</v>
      </c>
      <c r="H17" s="444"/>
      <c r="I17" s="582" t="s">
        <v>5</v>
      </c>
      <c r="J17" s="582" t="s">
        <v>5</v>
      </c>
      <c r="K17" s="287">
        <v>-0.39</v>
      </c>
      <c r="L17" s="287">
        <v>0.49</v>
      </c>
      <c r="M17" s="287">
        <v>-0.27</v>
      </c>
      <c r="N17" s="574">
        <v>0.34</v>
      </c>
      <c r="O17" s="597" t="str">
        <f t="shared" si="0"/>
        <v>-</v>
      </c>
      <c r="P17" s="597" t="str">
        <f t="shared" si="1"/>
        <v>-</v>
      </c>
      <c r="Q17" s="598" t="str">
        <f t="shared" si="2"/>
        <v>-</v>
      </c>
      <c r="R17" s="599" t="str">
        <f t="shared" si="3"/>
        <v>-</v>
      </c>
      <c r="S17" s="598" t="str">
        <f t="shared" si="4"/>
        <v>-</v>
      </c>
      <c r="T17" s="600" t="str">
        <f t="shared" si="5"/>
        <v>-</v>
      </c>
      <c r="U17" s="31"/>
      <c r="V17" s="610" t="str">
        <f t="shared" si="6"/>
        <v>-</v>
      </c>
      <c r="W17" s="611" t="str">
        <f t="shared" si="7"/>
        <v>-</v>
      </c>
      <c r="X17" s="612" t="str">
        <f t="shared" si="8"/>
        <v>-</v>
      </c>
      <c r="Y17" s="613" t="str">
        <f t="shared" si="9"/>
        <v>-</v>
      </c>
      <c r="Z17" s="614" t="str">
        <f t="shared" si="10"/>
        <v>-</v>
      </c>
      <c r="AB17" s="201" t="s">
        <v>0</v>
      </c>
    </row>
    <row r="18" spans="1:28" ht="15" customHeight="1" x14ac:dyDescent="0.25">
      <c r="A18" s="5"/>
      <c r="B18" s="38">
        <v>8</v>
      </c>
      <c r="C18" s="205" t="s">
        <v>5</v>
      </c>
      <c r="D18" s="205" t="s">
        <v>5</v>
      </c>
      <c r="E18" s="205" t="s">
        <v>5</v>
      </c>
      <c r="F18" s="205" t="s">
        <v>5</v>
      </c>
      <c r="G18" s="205" t="s">
        <v>5</v>
      </c>
      <c r="H18" s="444"/>
      <c r="I18" s="582" t="s">
        <v>5</v>
      </c>
      <c r="J18" s="582" t="s">
        <v>5</v>
      </c>
      <c r="K18" s="287">
        <v>-0.36</v>
      </c>
      <c r="L18" s="287">
        <v>0.47</v>
      </c>
      <c r="M18" s="287">
        <v>-0.25</v>
      </c>
      <c r="N18" s="574">
        <v>0.33</v>
      </c>
      <c r="O18" s="597" t="str">
        <f t="shared" si="0"/>
        <v>-</v>
      </c>
      <c r="P18" s="597" t="str">
        <f t="shared" si="1"/>
        <v>-</v>
      </c>
      <c r="Q18" s="598" t="str">
        <f t="shared" si="2"/>
        <v>-</v>
      </c>
      <c r="R18" s="599" t="str">
        <f t="shared" si="3"/>
        <v>-</v>
      </c>
      <c r="S18" s="598" t="str">
        <f t="shared" si="4"/>
        <v>-</v>
      </c>
      <c r="T18" s="600" t="str">
        <f t="shared" si="5"/>
        <v>-</v>
      </c>
      <c r="U18" s="31"/>
      <c r="V18" s="610" t="str">
        <f t="shared" si="6"/>
        <v>-</v>
      </c>
      <c r="W18" s="611" t="str">
        <f t="shared" si="7"/>
        <v>-</v>
      </c>
      <c r="X18" s="612" t="str">
        <f t="shared" si="8"/>
        <v>-</v>
      </c>
      <c r="Y18" s="613" t="str">
        <f t="shared" si="9"/>
        <v>-</v>
      </c>
      <c r="Z18" s="614" t="str">
        <f t="shared" si="10"/>
        <v>-</v>
      </c>
      <c r="AB18" s="201" t="s">
        <v>0</v>
      </c>
    </row>
    <row r="19" spans="1:28" ht="15" customHeight="1" x14ac:dyDescent="0.25">
      <c r="A19" s="193"/>
      <c r="B19" s="303">
        <v>9</v>
      </c>
      <c r="C19" s="205" t="s">
        <v>5</v>
      </c>
      <c r="D19" s="205" t="s">
        <v>5</v>
      </c>
      <c r="E19" s="205" t="s">
        <v>5</v>
      </c>
      <c r="F19" s="205" t="s">
        <v>5</v>
      </c>
      <c r="G19" s="205" t="s">
        <v>5</v>
      </c>
      <c r="H19" s="444"/>
      <c r="I19" s="582" t="s">
        <v>5</v>
      </c>
      <c r="J19" s="582" t="s">
        <v>5</v>
      </c>
      <c r="K19" s="287">
        <v>-0.33</v>
      </c>
      <c r="L19" s="287">
        <v>0.44</v>
      </c>
      <c r="M19" s="287">
        <v>-0.23</v>
      </c>
      <c r="N19" s="574">
        <v>0.31</v>
      </c>
      <c r="O19" s="597" t="str">
        <f t="shared" si="0"/>
        <v>-</v>
      </c>
      <c r="P19" s="597" t="str">
        <f t="shared" si="1"/>
        <v>-</v>
      </c>
      <c r="Q19" s="598" t="str">
        <f t="shared" si="2"/>
        <v>-</v>
      </c>
      <c r="R19" s="599" t="str">
        <f t="shared" si="3"/>
        <v>-</v>
      </c>
      <c r="S19" s="598" t="str">
        <f t="shared" si="4"/>
        <v>-</v>
      </c>
      <c r="T19" s="600" t="str">
        <f t="shared" si="5"/>
        <v>-</v>
      </c>
      <c r="U19" s="31"/>
      <c r="V19" s="610" t="str">
        <f t="shared" si="6"/>
        <v>-</v>
      </c>
      <c r="W19" s="611" t="str">
        <f t="shared" si="7"/>
        <v>-</v>
      </c>
      <c r="X19" s="612" t="str">
        <f t="shared" si="8"/>
        <v>-</v>
      </c>
      <c r="Y19" s="613" t="str">
        <f t="shared" si="9"/>
        <v>-</v>
      </c>
      <c r="Z19" s="614" t="str">
        <f t="shared" si="10"/>
        <v>-</v>
      </c>
      <c r="AB19" s="201" t="s">
        <v>0</v>
      </c>
    </row>
    <row r="20" spans="1:28" ht="15" customHeight="1" x14ac:dyDescent="0.25">
      <c r="A20" s="193"/>
      <c r="B20" s="38">
        <v>10</v>
      </c>
      <c r="C20" s="205" t="s">
        <v>5</v>
      </c>
      <c r="D20" s="205" t="s">
        <v>5</v>
      </c>
      <c r="E20" s="205" t="s">
        <v>5</v>
      </c>
      <c r="F20" s="205" t="s">
        <v>5</v>
      </c>
      <c r="G20" s="205" t="s">
        <v>5</v>
      </c>
      <c r="H20" s="444"/>
      <c r="I20" s="582" t="s">
        <v>5</v>
      </c>
      <c r="J20" s="582" t="s">
        <v>5</v>
      </c>
      <c r="K20" s="287">
        <v>-0.31</v>
      </c>
      <c r="L20" s="287">
        <v>0.42</v>
      </c>
      <c r="M20" s="287">
        <v>-0.22</v>
      </c>
      <c r="N20" s="574">
        <v>0.28999999999999998</v>
      </c>
      <c r="O20" s="597" t="str">
        <f t="shared" si="0"/>
        <v>-</v>
      </c>
      <c r="P20" s="597" t="str">
        <f t="shared" si="1"/>
        <v>-</v>
      </c>
      <c r="Q20" s="598" t="str">
        <f t="shared" si="2"/>
        <v>-</v>
      </c>
      <c r="R20" s="599" t="str">
        <f t="shared" si="3"/>
        <v>-</v>
      </c>
      <c r="S20" s="598" t="str">
        <f t="shared" si="4"/>
        <v>-</v>
      </c>
      <c r="T20" s="600" t="str">
        <f t="shared" si="5"/>
        <v>-</v>
      </c>
      <c r="U20" s="31"/>
      <c r="V20" s="610" t="str">
        <f t="shared" si="6"/>
        <v>-</v>
      </c>
      <c r="W20" s="611" t="str">
        <f t="shared" si="7"/>
        <v>-</v>
      </c>
      <c r="X20" s="612" t="str">
        <f t="shared" si="8"/>
        <v>-</v>
      </c>
      <c r="Y20" s="613" t="str">
        <f t="shared" si="9"/>
        <v>-</v>
      </c>
      <c r="Z20" s="614" t="str">
        <f t="shared" si="10"/>
        <v>-</v>
      </c>
      <c r="AB20" s="201" t="s">
        <v>0</v>
      </c>
    </row>
    <row r="21" spans="1:28" ht="15" customHeight="1" x14ac:dyDescent="0.25">
      <c r="A21" s="193"/>
      <c r="B21" s="303">
        <v>11</v>
      </c>
      <c r="C21" s="205" t="s">
        <v>5</v>
      </c>
      <c r="D21" s="205" t="s">
        <v>5</v>
      </c>
      <c r="E21" s="205" t="s">
        <v>5</v>
      </c>
      <c r="F21" s="205" t="s">
        <v>5</v>
      </c>
      <c r="G21" s="205" t="s">
        <v>5</v>
      </c>
      <c r="H21" s="444"/>
      <c r="I21" s="582" t="s">
        <v>5</v>
      </c>
      <c r="J21" s="582" t="s">
        <v>5</v>
      </c>
      <c r="K21" s="287">
        <v>-0.3</v>
      </c>
      <c r="L21" s="287">
        <v>0.39</v>
      </c>
      <c r="M21" s="287">
        <v>-0.21</v>
      </c>
      <c r="N21" s="574">
        <v>0.27</v>
      </c>
      <c r="O21" s="597" t="str">
        <f t="shared" si="0"/>
        <v>-</v>
      </c>
      <c r="P21" s="597" t="str">
        <f t="shared" si="1"/>
        <v>-</v>
      </c>
      <c r="Q21" s="598" t="str">
        <f t="shared" si="2"/>
        <v>-</v>
      </c>
      <c r="R21" s="599" t="str">
        <f t="shared" si="3"/>
        <v>-</v>
      </c>
      <c r="S21" s="598" t="str">
        <f t="shared" si="4"/>
        <v>-</v>
      </c>
      <c r="T21" s="600" t="str">
        <f t="shared" si="5"/>
        <v>-</v>
      </c>
      <c r="U21" s="31"/>
      <c r="V21" s="610" t="str">
        <f t="shared" si="6"/>
        <v>-</v>
      </c>
      <c r="W21" s="611" t="str">
        <f t="shared" si="7"/>
        <v>-</v>
      </c>
      <c r="X21" s="612" t="str">
        <f t="shared" si="8"/>
        <v>-</v>
      </c>
      <c r="Y21" s="613" t="str">
        <f t="shared" si="9"/>
        <v>-</v>
      </c>
      <c r="Z21" s="614" t="str">
        <f t="shared" si="10"/>
        <v>-</v>
      </c>
      <c r="AB21" s="201" t="s">
        <v>0</v>
      </c>
    </row>
    <row r="22" spans="1:28" ht="15" customHeight="1" x14ac:dyDescent="0.25">
      <c r="A22" s="193"/>
      <c r="B22" s="38">
        <v>12</v>
      </c>
      <c r="C22" s="205" t="s">
        <v>5</v>
      </c>
      <c r="D22" s="205" t="s">
        <v>5</v>
      </c>
      <c r="E22" s="205" t="s">
        <v>5</v>
      </c>
      <c r="F22" s="205" t="s">
        <v>5</v>
      </c>
      <c r="G22" s="205" t="s">
        <v>5</v>
      </c>
      <c r="H22" s="444"/>
      <c r="I22" s="582" t="s">
        <v>5</v>
      </c>
      <c r="J22" s="582" t="s">
        <v>5</v>
      </c>
      <c r="K22" s="287">
        <v>-0.28999999999999998</v>
      </c>
      <c r="L22" s="287">
        <v>0.37</v>
      </c>
      <c r="M22" s="287">
        <v>-0.2</v>
      </c>
      <c r="N22" s="574">
        <v>0.26</v>
      </c>
      <c r="O22" s="597" t="str">
        <f t="shared" si="0"/>
        <v>-</v>
      </c>
      <c r="P22" s="597" t="str">
        <f t="shared" si="1"/>
        <v>-</v>
      </c>
      <c r="Q22" s="598" t="str">
        <f t="shared" si="2"/>
        <v>-</v>
      </c>
      <c r="R22" s="599" t="str">
        <f t="shared" si="3"/>
        <v>-</v>
      </c>
      <c r="S22" s="598" t="str">
        <f t="shared" si="4"/>
        <v>-</v>
      </c>
      <c r="T22" s="600" t="str">
        <f t="shared" si="5"/>
        <v>-</v>
      </c>
      <c r="U22" s="31"/>
      <c r="V22" s="610" t="str">
        <f t="shared" si="6"/>
        <v>-</v>
      </c>
      <c r="W22" s="611" t="str">
        <f t="shared" si="7"/>
        <v>-</v>
      </c>
      <c r="X22" s="612" t="str">
        <f t="shared" si="8"/>
        <v>-</v>
      </c>
      <c r="Y22" s="613" t="str">
        <f t="shared" si="9"/>
        <v>-</v>
      </c>
      <c r="Z22" s="614" t="str">
        <f t="shared" si="10"/>
        <v>-</v>
      </c>
      <c r="AB22" s="201" t="s">
        <v>0</v>
      </c>
    </row>
    <row r="23" spans="1:28" ht="15" customHeight="1" x14ac:dyDescent="0.25">
      <c r="A23" s="193"/>
      <c r="B23" s="303">
        <v>13</v>
      </c>
      <c r="C23" s="205" t="s">
        <v>5</v>
      </c>
      <c r="D23" s="205" t="s">
        <v>5</v>
      </c>
      <c r="E23" s="205" t="s">
        <v>5</v>
      </c>
      <c r="F23" s="205" t="s">
        <v>5</v>
      </c>
      <c r="G23" s="205" t="s">
        <v>5</v>
      </c>
      <c r="H23" s="444"/>
      <c r="I23" s="582" t="s">
        <v>5</v>
      </c>
      <c r="J23" s="582" t="s">
        <v>5</v>
      </c>
      <c r="K23" s="287">
        <v>-0.28000000000000003</v>
      </c>
      <c r="L23" s="287">
        <v>0.35</v>
      </c>
      <c r="M23" s="287">
        <v>-0.2</v>
      </c>
      <c r="N23" s="574">
        <v>0.25</v>
      </c>
      <c r="O23" s="597" t="str">
        <f t="shared" si="0"/>
        <v>-</v>
      </c>
      <c r="P23" s="597" t="str">
        <f t="shared" si="1"/>
        <v>-</v>
      </c>
      <c r="Q23" s="598" t="str">
        <f t="shared" si="2"/>
        <v>-</v>
      </c>
      <c r="R23" s="599" t="str">
        <f t="shared" si="3"/>
        <v>-</v>
      </c>
      <c r="S23" s="598" t="str">
        <f t="shared" si="4"/>
        <v>-</v>
      </c>
      <c r="T23" s="600" t="str">
        <f t="shared" si="5"/>
        <v>-</v>
      </c>
      <c r="U23" s="31"/>
      <c r="V23" s="610" t="str">
        <f t="shared" si="6"/>
        <v>-</v>
      </c>
      <c r="W23" s="611" t="str">
        <f t="shared" si="7"/>
        <v>-</v>
      </c>
      <c r="X23" s="612" t="str">
        <f t="shared" si="8"/>
        <v>-</v>
      </c>
      <c r="Y23" s="613" t="str">
        <f t="shared" si="9"/>
        <v>-</v>
      </c>
      <c r="Z23" s="614" t="str">
        <f t="shared" si="10"/>
        <v>-</v>
      </c>
      <c r="AB23" s="201" t="s">
        <v>0</v>
      </c>
    </row>
    <row r="24" spans="1:28" ht="15" customHeight="1" x14ac:dyDescent="0.25">
      <c r="A24" s="193"/>
      <c r="B24" s="38">
        <v>14</v>
      </c>
      <c r="C24" s="205" t="s">
        <v>5</v>
      </c>
      <c r="D24" s="205" t="s">
        <v>5</v>
      </c>
      <c r="E24" s="205" t="s">
        <v>5</v>
      </c>
      <c r="F24" s="205" t="s">
        <v>5</v>
      </c>
      <c r="G24" s="205" t="s">
        <v>5</v>
      </c>
      <c r="H24" s="444"/>
      <c r="I24" s="582" t="s">
        <v>5</v>
      </c>
      <c r="J24" s="582" t="s">
        <v>5</v>
      </c>
      <c r="K24" s="287">
        <v>-0.28000000000000003</v>
      </c>
      <c r="L24" s="287">
        <v>0.34</v>
      </c>
      <c r="M24" s="287">
        <v>-0.2</v>
      </c>
      <c r="N24" s="574">
        <v>0.24</v>
      </c>
      <c r="O24" s="597" t="str">
        <f t="shared" si="0"/>
        <v>-</v>
      </c>
      <c r="P24" s="597" t="str">
        <f t="shared" si="1"/>
        <v>-</v>
      </c>
      <c r="Q24" s="598" t="str">
        <f t="shared" si="2"/>
        <v>-</v>
      </c>
      <c r="R24" s="599" t="str">
        <f t="shared" si="3"/>
        <v>-</v>
      </c>
      <c r="S24" s="598" t="str">
        <f t="shared" si="4"/>
        <v>-</v>
      </c>
      <c r="T24" s="600" t="str">
        <f t="shared" si="5"/>
        <v>-</v>
      </c>
      <c r="U24" s="31"/>
      <c r="V24" s="610" t="str">
        <f t="shared" si="6"/>
        <v>-</v>
      </c>
      <c r="W24" s="611" t="str">
        <f t="shared" si="7"/>
        <v>-</v>
      </c>
      <c r="X24" s="612" t="str">
        <f t="shared" si="8"/>
        <v>-</v>
      </c>
      <c r="Y24" s="613" t="str">
        <f t="shared" si="9"/>
        <v>-</v>
      </c>
      <c r="Z24" s="614" t="str">
        <f t="shared" si="10"/>
        <v>-</v>
      </c>
      <c r="AB24" s="201" t="s">
        <v>0</v>
      </c>
    </row>
    <row r="25" spans="1:28" ht="15" customHeight="1" x14ac:dyDescent="0.25">
      <c r="A25" s="5"/>
      <c r="B25" s="303">
        <v>15</v>
      </c>
      <c r="C25" s="205" t="s">
        <v>5</v>
      </c>
      <c r="D25" s="205" t="s">
        <v>5</v>
      </c>
      <c r="E25" s="205" t="s">
        <v>5</v>
      </c>
      <c r="F25" s="205" t="s">
        <v>5</v>
      </c>
      <c r="G25" s="205" t="s">
        <v>5</v>
      </c>
      <c r="H25" s="444"/>
      <c r="I25" s="582" t="s">
        <v>5</v>
      </c>
      <c r="J25" s="582" t="s">
        <v>5</v>
      </c>
      <c r="K25" s="287">
        <v>-0.27</v>
      </c>
      <c r="L25" s="287">
        <v>0.33</v>
      </c>
      <c r="M25" s="287">
        <v>-0.19</v>
      </c>
      <c r="N25" s="574">
        <v>0.23</v>
      </c>
      <c r="O25" s="597" t="str">
        <f t="shared" si="0"/>
        <v>-</v>
      </c>
      <c r="P25" s="597" t="str">
        <f t="shared" si="1"/>
        <v>-</v>
      </c>
      <c r="Q25" s="598" t="str">
        <f t="shared" si="2"/>
        <v>-</v>
      </c>
      <c r="R25" s="599" t="str">
        <f t="shared" si="3"/>
        <v>-</v>
      </c>
      <c r="S25" s="598" t="str">
        <f t="shared" si="4"/>
        <v>-</v>
      </c>
      <c r="T25" s="600" t="str">
        <f t="shared" si="5"/>
        <v>-</v>
      </c>
      <c r="U25" s="31"/>
      <c r="V25" s="610" t="str">
        <f t="shared" si="6"/>
        <v>-</v>
      </c>
      <c r="W25" s="611" t="str">
        <f t="shared" si="7"/>
        <v>-</v>
      </c>
      <c r="X25" s="612" t="str">
        <f t="shared" si="8"/>
        <v>-</v>
      </c>
      <c r="Y25" s="613" t="str">
        <f t="shared" si="9"/>
        <v>-</v>
      </c>
      <c r="Z25" s="614" t="str">
        <f t="shared" si="10"/>
        <v>-</v>
      </c>
      <c r="AB25" s="201" t="s">
        <v>0</v>
      </c>
    </row>
    <row r="26" spans="1:28" ht="15" customHeight="1" x14ac:dyDescent="0.25">
      <c r="A26" s="5"/>
      <c r="B26" s="38">
        <v>16</v>
      </c>
      <c r="C26" s="205" t="s">
        <v>5</v>
      </c>
      <c r="D26" s="205" t="s">
        <v>5</v>
      </c>
      <c r="E26" s="205" t="s">
        <v>5</v>
      </c>
      <c r="F26" s="205" t="s">
        <v>5</v>
      </c>
      <c r="G26" s="205" t="s">
        <v>5</v>
      </c>
      <c r="H26" s="444"/>
      <c r="I26" s="582" t="s">
        <v>5</v>
      </c>
      <c r="J26" s="582" t="s">
        <v>5</v>
      </c>
      <c r="K26" s="287">
        <v>-0.28000000000000003</v>
      </c>
      <c r="L26" s="287">
        <v>0.31</v>
      </c>
      <c r="M26" s="287">
        <v>-0.2</v>
      </c>
      <c r="N26" s="574">
        <v>0.22</v>
      </c>
      <c r="O26" s="597" t="str">
        <f t="shared" si="0"/>
        <v>-</v>
      </c>
      <c r="P26" s="597" t="str">
        <f t="shared" si="1"/>
        <v>-</v>
      </c>
      <c r="Q26" s="598" t="str">
        <f t="shared" si="2"/>
        <v>-</v>
      </c>
      <c r="R26" s="599" t="str">
        <f t="shared" si="3"/>
        <v>-</v>
      </c>
      <c r="S26" s="598" t="str">
        <f t="shared" si="4"/>
        <v>-</v>
      </c>
      <c r="T26" s="600" t="str">
        <f t="shared" si="5"/>
        <v>-</v>
      </c>
      <c r="U26" s="31"/>
      <c r="V26" s="610" t="str">
        <f t="shared" si="6"/>
        <v>-</v>
      </c>
      <c r="W26" s="611" t="str">
        <f t="shared" si="7"/>
        <v>-</v>
      </c>
      <c r="X26" s="612" t="str">
        <f t="shared" si="8"/>
        <v>-</v>
      </c>
      <c r="Y26" s="613" t="str">
        <f t="shared" si="9"/>
        <v>-</v>
      </c>
      <c r="Z26" s="614" t="str">
        <f t="shared" si="10"/>
        <v>-</v>
      </c>
      <c r="AB26" s="201" t="s">
        <v>0</v>
      </c>
    </row>
    <row r="27" spans="1:28" ht="15" customHeight="1" x14ac:dyDescent="0.25">
      <c r="A27" s="5"/>
      <c r="B27" s="303">
        <v>17</v>
      </c>
      <c r="C27" s="205" t="s">
        <v>5</v>
      </c>
      <c r="D27" s="205" t="s">
        <v>5</v>
      </c>
      <c r="E27" s="205" t="s">
        <v>5</v>
      </c>
      <c r="F27" s="205" t="s">
        <v>5</v>
      </c>
      <c r="G27" s="205" t="s">
        <v>5</v>
      </c>
      <c r="H27" s="444"/>
      <c r="I27" s="582" t="s">
        <v>5</v>
      </c>
      <c r="J27" s="582" t="s">
        <v>5</v>
      </c>
      <c r="K27" s="287">
        <v>-0.28000000000000003</v>
      </c>
      <c r="L27" s="287">
        <v>0.3</v>
      </c>
      <c r="M27" s="287">
        <v>-0.2</v>
      </c>
      <c r="N27" s="574">
        <v>0.21</v>
      </c>
      <c r="O27" s="597" t="str">
        <f t="shared" si="0"/>
        <v>-</v>
      </c>
      <c r="P27" s="597" t="str">
        <f t="shared" si="1"/>
        <v>-</v>
      </c>
      <c r="Q27" s="598" t="str">
        <f t="shared" si="2"/>
        <v>-</v>
      </c>
      <c r="R27" s="599" t="str">
        <f t="shared" si="3"/>
        <v>-</v>
      </c>
      <c r="S27" s="598" t="str">
        <f t="shared" si="4"/>
        <v>-</v>
      </c>
      <c r="T27" s="600" t="str">
        <f t="shared" si="5"/>
        <v>-</v>
      </c>
      <c r="U27" s="31"/>
      <c r="V27" s="610" t="str">
        <f t="shared" si="6"/>
        <v>-</v>
      </c>
      <c r="W27" s="611" t="str">
        <f t="shared" si="7"/>
        <v>-</v>
      </c>
      <c r="X27" s="612" t="str">
        <f t="shared" si="8"/>
        <v>-</v>
      </c>
      <c r="Y27" s="613" t="str">
        <f t="shared" si="9"/>
        <v>-</v>
      </c>
      <c r="Z27" s="614" t="str">
        <f t="shared" si="10"/>
        <v>-</v>
      </c>
      <c r="AB27" s="201" t="s">
        <v>0</v>
      </c>
    </row>
    <row r="28" spans="1:28" ht="15" customHeight="1" x14ac:dyDescent="0.25">
      <c r="A28" s="5"/>
      <c r="B28" s="38">
        <v>18</v>
      </c>
      <c r="C28" s="205" t="s">
        <v>5</v>
      </c>
      <c r="D28" s="205" t="s">
        <v>5</v>
      </c>
      <c r="E28" s="205" t="s">
        <v>5</v>
      </c>
      <c r="F28" s="205" t="s">
        <v>5</v>
      </c>
      <c r="G28" s="205" t="s">
        <v>5</v>
      </c>
      <c r="H28" s="444"/>
      <c r="I28" s="582" t="s">
        <v>5</v>
      </c>
      <c r="J28" s="582" t="s">
        <v>5</v>
      </c>
      <c r="K28" s="287">
        <v>-0.28000000000000003</v>
      </c>
      <c r="L28" s="287">
        <v>0.28999999999999998</v>
      </c>
      <c r="M28" s="287">
        <v>-0.2</v>
      </c>
      <c r="N28" s="574">
        <v>0.2</v>
      </c>
      <c r="O28" s="597" t="str">
        <f t="shared" si="0"/>
        <v>-</v>
      </c>
      <c r="P28" s="597" t="str">
        <f t="shared" si="1"/>
        <v>-</v>
      </c>
      <c r="Q28" s="598" t="str">
        <f t="shared" si="2"/>
        <v>-</v>
      </c>
      <c r="R28" s="599" t="str">
        <f t="shared" si="3"/>
        <v>-</v>
      </c>
      <c r="S28" s="598" t="str">
        <f t="shared" si="4"/>
        <v>-</v>
      </c>
      <c r="T28" s="600" t="str">
        <f t="shared" si="5"/>
        <v>-</v>
      </c>
      <c r="U28" s="31"/>
      <c r="V28" s="610" t="str">
        <f t="shared" si="6"/>
        <v>-</v>
      </c>
      <c r="W28" s="611" t="str">
        <f t="shared" si="7"/>
        <v>-</v>
      </c>
      <c r="X28" s="612" t="str">
        <f t="shared" si="8"/>
        <v>-</v>
      </c>
      <c r="Y28" s="613" t="str">
        <f t="shared" si="9"/>
        <v>-</v>
      </c>
      <c r="Z28" s="614" t="str">
        <f t="shared" si="10"/>
        <v>-</v>
      </c>
      <c r="AB28" s="201" t="s">
        <v>0</v>
      </c>
    </row>
    <row r="29" spans="1:28" ht="15" customHeight="1" x14ac:dyDescent="0.25">
      <c r="A29" s="5"/>
      <c r="B29" s="303">
        <v>19</v>
      </c>
      <c r="C29" s="205" t="s">
        <v>5</v>
      </c>
      <c r="D29" s="205" t="s">
        <v>5</v>
      </c>
      <c r="E29" s="205" t="s">
        <v>5</v>
      </c>
      <c r="F29" s="205" t="s">
        <v>5</v>
      </c>
      <c r="G29" s="205" t="s">
        <v>5</v>
      </c>
      <c r="H29" s="444"/>
      <c r="I29" s="582" t="s">
        <v>5</v>
      </c>
      <c r="J29" s="582" t="s">
        <v>5</v>
      </c>
      <c r="K29" s="287">
        <v>-0.28999999999999998</v>
      </c>
      <c r="L29" s="287">
        <v>0.27</v>
      </c>
      <c r="M29" s="287">
        <v>-0.2</v>
      </c>
      <c r="N29" s="574">
        <v>0.19</v>
      </c>
      <c r="O29" s="597" t="str">
        <f t="shared" si="0"/>
        <v>-</v>
      </c>
      <c r="P29" s="597" t="str">
        <f t="shared" si="1"/>
        <v>-</v>
      </c>
      <c r="Q29" s="598" t="str">
        <f t="shared" si="2"/>
        <v>-</v>
      </c>
      <c r="R29" s="599" t="str">
        <f t="shared" si="3"/>
        <v>-</v>
      </c>
      <c r="S29" s="598" t="str">
        <f t="shared" si="4"/>
        <v>-</v>
      </c>
      <c r="T29" s="600" t="str">
        <f t="shared" si="5"/>
        <v>-</v>
      </c>
      <c r="U29" s="31"/>
      <c r="V29" s="610" t="str">
        <f t="shared" si="6"/>
        <v>-</v>
      </c>
      <c r="W29" s="611" t="str">
        <f t="shared" si="7"/>
        <v>-</v>
      </c>
      <c r="X29" s="612" t="str">
        <f t="shared" si="8"/>
        <v>-</v>
      </c>
      <c r="Y29" s="613" t="str">
        <f t="shared" si="9"/>
        <v>-</v>
      </c>
      <c r="Z29" s="614" t="str">
        <f t="shared" si="10"/>
        <v>-</v>
      </c>
      <c r="AB29" s="201" t="s">
        <v>0</v>
      </c>
    </row>
    <row r="30" spans="1:28" ht="15" customHeight="1" x14ac:dyDescent="0.25">
      <c r="A30" s="5"/>
      <c r="B30" s="38">
        <v>20</v>
      </c>
      <c r="C30" s="205" t="s">
        <v>5</v>
      </c>
      <c r="D30" s="205" t="s">
        <v>5</v>
      </c>
      <c r="E30" s="205" t="s">
        <v>5</v>
      </c>
      <c r="F30" s="205" t="s">
        <v>5</v>
      </c>
      <c r="G30" s="205" t="s">
        <v>5</v>
      </c>
      <c r="H30" s="444"/>
      <c r="I30" s="582" t="s">
        <v>5</v>
      </c>
      <c r="J30" s="582" t="s">
        <v>5</v>
      </c>
      <c r="K30" s="287">
        <v>-0.28999999999999998</v>
      </c>
      <c r="L30" s="287">
        <v>0.26</v>
      </c>
      <c r="M30" s="287">
        <v>-0.2</v>
      </c>
      <c r="N30" s="574">
        <v>0.18</v>
      </c>
      <c r="O30" s="597" t="str">
        <f t="shared" si="0"/>
        <v>-</v>
      </c>
      <c r="P30" s="597" t="str">
        <f t="shared" si="1"/>
        <v>-</v>
      </c>
      <c r="Q30" s="598" t="str">
        <f t="shared" si="2"/>
        <v>-</v>
      </c>
      <c r="R30" s="599" t="str">
        <f t="shared" si="3"/>
        <v>-</v>
      </c>
      <c r="S30" s="598" t="str">
        <f t="shared" si="4"/>
        <v>-</v>
      </c>
      <c r="T30" s="600" t="str">
        <f t="shared" si="5"/>
        <v>-</v>
      </c>
      <c r="U30" s="31"/>
      <c r="V30" s="610" t="str">
        <f t="shared" si="6"/>
        <v>-</v>
      </c>
      <c r="W30" s="611" t="str">
        <f t="shared" si="7"/>
        <v>-</v>
      </c>
      <c r="X30" s="612" t="str">
        <f t="shared" si="8"/>
        <v>-</v>
      </c>
      <c r="Y30" s="613" t="str">
        <f t="shared" si="9"/>
        <v>-</v>
      </c>
      <c r="Z30" s="614" t="str">
        <f t="shared" si="10"/>
        <v>-</v>
      </c>
      <c r="AB30" s="201" t="s">
        <v>0</v>
      </c>
    </row>
    <row r="31" spans="1:28" ht="15" customHeight="1" x14ac:dyDescent="0.25">
      <c r="A31" s="5"/>
      <c r="B31" s="303">
        <v>21</v>
      </c>
      <c r="C31" s="205" t="s">
        <v>5</v>
      </c>
      <c r="D31" s="205" t="s">
        <v>5</v>
      </c>
      <c r="E31" s="205" t="s">
        <v>5</v>
      </c>
      <c r="F31" s="205" t="s">
        <v>5</v>
      </c>
      <c r="G31" s="205" t="s">
        <v>5</v>
      </c>
      <c r="H31" s="444"/>
      <c r="I31" s="582" t="s">
        <v>5</v>
      </c>
      <c r="J31" s="582" t="s">
        <v>5</v>
      </c>
      <c r="K31" s="287">
        <f t="shared" ref="K31:K62" si="11">K30+(($K$100-$K$30)/($B$100-$B$30))</f>
        <v>-0.2887142857142857</v>
      </c>
      <c r="L31" s="287">
        <f t="shared" ref="L31:L62" si="12">L30+(($L$100-$L$30)/($B$100-$B$30))</f>
        <v>0.25914285714285717</v>
      </c>
      <c r="M31" s="287">
        <f t="shared" ref="M31:M62" si="13">M30+(($M$100-$M$30)/($B$100-$B$30))</f>
        <v>-0.19914285714285715</v>
      </c>
      <c r="N31" s="574">
        <f t="shared" ref="N31:N62" si="14">N30+(($N$100-$N$30)/($B$100-$B$30))</f>
        <v>0.17942857142857141</v>
      </c>
      <c r="O31" s="597" t="str">
        <f t="shared" si="0"/>
        <v>-</v>
      </c>
      <c r="P31" s="597" t="str">
        <f t="shared" si="1"/>
        <v>-</v>
      </c>
      <c r="Q31" s="598" t="str">
        <f t="shared" si="2"/>
        <v>-</v>
      </c>
      <c r="R31" s="599" t="str">
        <f t="shared" si="3"/>
        <v>-</v>
      </c>
      <c r="S31" s="598" t="str">
        <f t="shared" si="4"/>
        <v>-</v>
      </c>
      <c r="T31" s="600" t="str">
        <f t="shared" si="5"/>
        <v>-</v>
      </c>
      <c r="U31" s="31"/>
      <c r="V31" s="610" t="str">
        <f t="shared" si="6"/>
        <v>-</v>
      </c>
      <c r="W31" s="611" t="str">
        <f t="shared" si="7"/>
        <v>-</v>
      </c>
      <c r="X31" s="612" t="str">
        <f t="shared" si="8"/>
        <v>-</v>
      </c>
      <c r="Y31" s="613" t="str">
        <f t="shared" si="9"/>
        <v>-</v>
      </c>
      <c r="Z31" s="614" t="str">
        <f t="shared" si="10"/>
        <v>-</v>
      </c>
      <c r="AB31" s="201" t="s">
        <v>0</v>
      </c>
    </row>
    <row r="32" spans="1:28" ht="15" customHeight="1" x14ac:dyDescent="0.25">
      <c r="A32" s="5"/>
      <c r="B32" s="38">
        <v>22</v>
      </c>
      <c r="C32" s="205" t="s">
        <v>5</v>
      </c>
      <c r="D32" s="205" t="s">
        <v>5</v>
      </c>
      <c r="E32" s="205" t="s">
        <v>5</v>
      </c>
      <c r="F32" s="205" t="s">
        <v>5</v>
      </c>
      <c r="G32" s="205" t="s">
        <v>5</v>
      </c>
      <c r="H32" s="444"/>
      <c r="I32" s="582" t="s">
        <v>5</v>
      </c>
      <c r="J32" s="582" t="s">
        <v>5</v>
      </c>
      <c r="K32" s="287">
        <f t="shared" si="11"/>
        <v>-0.28742857142857142</v>
      </c>
      <c r="L32" s="287">
        <f t="shared" si="12"/>
        <v>0.25828571428571434</v>
      </c>
      <c r="M32" s="287">
        <f t="shared" si="13"/>
        <v>-0.19828571428571429</v>
      </c>
      <c r="N32" s="574">
        <f t="shared" si="14"/>
        <v>0.17885714285714283</v>
      </c>
      <c r="O32" s="597" t="str">
        <f t="shared" si="0"/>
        <v>-</v>
      </c>
      <c r="P32" s="597" t="str">
        <f t="shared" si="1"/>
        <v>-</v>
      </c>
      <c r="Q32" s="598" t="str">
        <f t="shared" si="2"/>
        <v>-</v>
      </c>
      <c r="R32" s="599" t="str">
        <f t="shared" si="3"/>
        <v>-</v>
      </c>
      <c r="S32" s="598" t="str">
        <f t="shared" si="4"/>
        <v>-</v>
      </c>
      <c r="T32" s="600" t="str">
        <f t="shared" si="5"/>
        <v>-</v>
      </c>
      <c r="U32" s="31"/>
      <c r="V32" s="610" t="str">
        <f t="shared" si="6"/>
        <v>-</v>
      </c>
      <c r="W32" s="611" t="str">
        <f t="shared" si="7"/>
        <v>-</v>
      </c>
      <c r="X32" s="612" t="str">
        <f t="shared" si="8"/>
        <v>-</v>
      </c>
      <c r="Y32" s="613" t="str">
        <f t="shared" si="9"/>
        <v>-</v>
      </c>
      <c r="Z32" s="614" t="str">
        <f t="shared" si="10"/>
        <v>-</v>
      </c>
      <c r="AB32" s="201" t="s">
        <v>0</v>
      </c>
    </row>
    <row r="33" spans="1:28" ht="15" customHeight="1" x14ac:dyDescent="0.25">
      <c r="A33" s="5"/>
      <c r="B33" s="303">
        <v>23</v>
      </c>
      <c r="C33" s="205" t="s">
        <v>5</v>
      </c>
      <c r="D33" s="205" t="s">
        <v>5</v>
      </c>
      <c r="E33" s="205" t="s">
        <v>5</v>
      </c>
      <c r="F33" s="205" t="s">
        <v>5</v>
      </c>
      <c r="G33" s="205" t="s">
        <v>5</v>
      </c>
      <c r="H33" s="444"/>
      <c r="I33" s="582" t="s">
        <v>5</v>
      </c>
      <c r="J33" s="582" t="s">
        <v>5</v>
      </c>
      <c r="K33" s="287">
        <f t="shared" si="11"/>
        <v>-0.28614285714285714</v>
      </c>
      <c r="L33" s="287">
        <f t="shared" si="12"/>
        <v>0.25742857142857151</v>
      </c>
      <c r="M33" s="287">
        <f t="shared" si="13"/>
        <v>-0.19742857142857143</v>
      </c>
      <c r="N33" s="574">
        <f t="shared" si="14"/>
        <v>0.17828571428571424</v>
      </c>
      <c r="O33" s="597" t="str">
        <f t="shared" si="0"/>
        <v>-</v>
      </c>
      <c r="P33" s="597" t="str">
        <f t="shared" si="1"/>
        <v>-</v>
      </c>
      <c r="Q33" s="598" t="str">
        <f t="shared" si="2"/>
        <v>-</v>
      </c>
      <c r="R33" s="599" t="str">
        <f t="shared" si="3"/>
        <v>-</v>
      </c>
      <c r="S33" s="598" t="str">
        <f t="shared" si="4"/>
        <v>-</v>
      </c>
      <c r="T33" s="600" t="str">
        <f t="shared" si="5"/>
        <v>-</v>
      </c>
      <c r="U33" s="31"/>
      <c r="V33" s="610" t="str">
        <f t="shared" si="6"/>
        <v>-</v>
      </c>
      <c r="W33" s="611" t="str">
        <f t="shared" si="7"/>
        <v>-</v>
      </c>
      <c r="X33" s="612" t="str">
        <f t="shared" si="8"/>
        <v>-</v>
      </c>
      <c r="Y33" s="613" t="str">
        <f t="shared" si="9"/>
        <v>-</v>
      </c>
      <c r="Z33" s="614" t="str">
        <f t="shared" si="10"/>
        <v>-</v>
      </c>
      <c r="AB33" s="201" t="s">
        <v>0</v>
      </c>
    </row>
    <row r="34" spans="1:28" ht="15" customHeight="1" x14ac:dyDescent="0.25">
      <c r="A34" s="5"/>
      <c r="B34" s="38">
        <v>24</v>
      </c>
      <c r="C34" s="205" t="s">
        <v>5</v>
      </c>
      <c r="D34" s="205" t="s">
        <v>5</v>
      </c>
      <c r="E34" s="205" t="s">
        <v>5</v>
      </c>
      <c r="F34" s="205" t="s">
        <v>5</v>
      </c>
      <c r="G34" s="205" t="s">
        <v>5</v>
      </c>
      <c r="H34" s="444"/>
      <c r="I34" s="582" t="s">
        <v>5</v>
      </c>
      <c r="J34" s="582" t="s">
        <v>5</v>
      </c>
      <c r="K34" s="287">
        <f t="shared" si="11"/>
        <v>-0.28485714285714286</v>
      </c>
      <c r="L34" s="287">
        <f t="shared" si="12"/>
        <v>0.25657142857142867</v>
      </c>
      <c r="M34" s="287">
        <f t="shared" si="13"/>
        <v>-0.19657142857142856</v>
      </c>
      <c r="N34" s="574">
        <f t="shared" si="14"/>
        <v>0.17771428571428566</v>
      </c>
      <c r="O34" s="597" t="str">
        <f t="shared" si="0"/>
        <v>-</v>
      </c>
      <c r="P34" s="597" t="str">
        <f t="shared" si="1"/>
        <v>-</v>
      </c>
      <c r="Q34" s="598" t="str">
        <f t="shared" si="2"/>
        <v>-</v>
      </c>
      <c r="R34" s="599" t="str">
        <f t="shared" si="3"/>
        <v>-</v>
      </c>
      <c r="S34" s="598" t="str">
        <f t="shared" si="4"/>
        <v>-</v>
      </c>
      <c r="T34" s="600" t="str">
        <f t="shared" si="5"/>
        <v>-</v>
      </c>
      <c r="U34" s="31"/>
      <c r="V34" s="610" t="str">
        <f t="shared" si="6"/>
        <v>-</v>
      </c>
      <c r="W34" s="611" t="str">
        <f t="shared" si="7"/>
        <v>-</v>
      </c>
      <c r="X34" s="612" t="str">
        <f t="shared" si="8"/>
        <v>-</v>
      </c>
      <c r="Y34" s="613" t="str">
        <f t="shared" si="9"/>
        <v>-</v>
      </c>
      <c r="Z34" s="614" t="str">
        <f t="shared" si="10"/>
        <v>-</v>
      </c>
      <c r="AB34" s="201" t="s">
        <v>0</v>
      </c>
    </row>
    <row r="35" spans="1:28" ht="15" customHeight="1" x14ac:dyDescent="0.25">
      <c r="A35" s="5"/>
      <c r="B35" s="303">
        <v>25</v>
      </c>
      <c r="C35" s="205" t="s">
        <v>5</v>
      </c>
      <c r="D35" s="205" t="s">
        <v>5</v>
      </c>
      <c r="E35" s="205" t="s">
        <v>5</v>
      </c>
      <c r="F35" s="205" t="s">
        <v>5</v>
      </c>
      <c r="G35" s="205" t="s">
        <v>5</v>
      </c>
      <c r="H35" s="444"/>
      <c r="I35" s="582" t="s">
        <v>5</v>
      </c>
      <c r="J35" s="582" t="s">
        <v>5</v>
      </c>
      <c r="K35" s="287">
        <f t="shared" si="11"/>
        <v>-0.28357142857142859</v>
      </c>
      <c r="L35" s="287">
        <f t="shared" si="12"/>
        <v>0.25571428571428584</v>
      </c>
      <c r="M35" s="287">
        <f t="shared" si="13"/>
        <v>-0.1957142857142857</v>
      </c>
      <c r="N35" s="574">
        <f t="shared" si="14"/>
        <v>0.17714285714285707</v>
      </c>
      <c r="O35" s="597" t="str">
        <f t="shared" si="0"/>
        <v>-</v>
      </c>
      <c r="P35" s="597" t="str">
        <f t="shared" si="1"/>
        <v>-</v>
      </c>
      <c r="Q35" s="598" t="str">
        <f t="shared" si="2"/>
        <v>-</v>
      </c>
      <c r="R35" s="599" t="str">
        <f t="shared" si="3"/>
        <v>-</v>
      </c>
      <c r="S35" s="598" t="str">
        <f t="shared" si="4"/>
        <v>-</v>
      </c>
      <c r="T35" s="600" t="str">
        <f t="shared" si="5"/>
        <v>-</v>
      </c>
      <c r="U35" s="31"/>
      <c r="V35" s="610" t="str">
        <f t="shared" si="6"/>
        <v>-</v>
      </c>
      <c r="W35" s="611" t="str">
        <f t="shared" si="7"/>
        <v>-</v>
      </c>
      <c r="X35" s="612" t="str">
        <f t="shared" si="8"/>
        <v>-</v>
      </c>
      <c r="Y35" s="613" t="str">
        <f t="shared" si="9"/>
        <v>-</v>
      </c>
      <c r="Z35" s="614" t="str">
        <f t="shared" si="10"/>
        <v>-</v>
      </c>
      <c r="AB35" s="201" t="s">
        <v>0</v>
      </c>
    </row>
    <row r="36" spans="1:28" ht="15" customHeight="1" x14ac:dyDescent="0.25">
      <c r="A36" s="5"/>
      <c r="B36" s="38">
        <v>26</v>
      </c>
      <c r="C36" s="205" t="s">
        <v>5</v>
      </c>
      <c r="D36" s="205" t="s">
        <v>5</v>
      </c>
      <c r="E36" s="205" t="s">
        <v>5</v>
      </c>
      <c r="F36" s="205" t="s">
        <v>5</v>
      </c>
      <c r="G36" s="205" t="s">
        <v>5</v>
      </c>
      <c r="H36" s="444"/>
      <c r="I36" s="582" t="s">
        <v>5</v>
      </c>
      <c r="J36" s="582" t="s">
        <v>5</v>
      </c>
      <c r="K36" s="287">
        <f t="shared" si="11"/>
        <v>-0.28228571428571431</v>
      </c>
      <c r="L36" s="287">
        <f t="shared" si="12"/>
        <v>0.254857142857143</v>
      </c>
      <c r="M36" s="287">
        <f t="shared" si="13"/>
        <v>-0.19485714285714284</v>
      </c>
      <c r="N36" s="574">
        <f t="shared" si="14"/>
        <v>0.17657142857142849</v>
      </c>
      <c r="O36" s="597" t="str">
        <f t="shared" si="0"/>
        <v>-</v>
      </c>
      <c r="P36" s="597" t="str">
        <f t="shared" si="1"/>
        <v>-</v>
      </c>
      <c r="Q36" s="598" t="str">
        <f t="shared" si="2"/>
        <v>-</v>
      </c>
      <c r="R36" s="599" t="str">
        <f t="shared" si="3"/>
        <v>-</v>
      </c>
      <c r="S36" s="598" t="str">
        <f t="shared" si="4"/>
        <v>-</v>
      </c>
      <c r="T36" s="600" t="str">
        <f t="shared" si="5"/>
        <v>-</v>
      </c>
      <c r="U36" s="31"/>
      <c r="V36" s="610" t="str">
        <f t="shared" si="6"/>
        <v>-</v>
      </c>
      <c r="W36" s="611" t="str">
        <f t="shared" si="7"/>
        <v>-</v>
      </c>
      <c r="X36" s="612" t="str">
        <f t="shared" si="8"/>
        <v>-</v>
      </c>
      <c r="Y36" s="613" t="str">
        <f t="shared" si="9"/>
        <v>-</v>
      </c>
      <c r="Z36" s="614" t="str">
        <f t="shared" si="10"/>
        <v>-</v>
      </c>
      <c r="AB36" s="201" t="s">
        <v>0</v>
      </c>
    </row>
    <row r="37" spans="1:28" ht="15" customHeight="1" x14ac:dyDescent="0.25">
      <c r="A37" s="5"/>
      <c r="B37" s="303">
        <v>27</v>
      </c>
      <c r="C37" s="205" t="s">
        <v>5</v>
      </c>
      <c r="D37" s="205" t="s">
        <v>5</v>
      </c>
      <c r="E37" s="205" t="s">
        <v>5</v>
      </c>
      <c r="F37" s="205" t="s">
        <v>5</v>
      </c>
      <c r="G37" s="205" t="s">
        <v>5</v>
      </c>
      <c r="H37" s="444"/>
      <c r="I37" s="582" t="s">
        <v>5</v>
      </c>
      <c r="J37" s="582" t="s">
        <v>5</v>
      </c>
      <c r="K37" s="287">
        <f t="shared" si="11"/>
        <v>-0.28100000000000003</v>
      </c>
      <c r="L37" s="287">
        <f t="shared" si="12"/>
        <v>0.25400000000000017</v>
      </c>
      <c r="M37" s="287">
        <f t="shared" si="13"/>
        <v>-0.19399999999999998</v>
      </c>
      <c r="N37" s="574">
        <f t="shared" si="14"/>
        <v>0.17599999999999991</v>
      </c>
      <c r="O37" s="597" t="str">
        <f t="shared" si="0"/>
        <v>-</v>
      </c>
      <c r="P37" s="597" t="str">
        <f t="shared" si="1"/>
        <v>-</v>
      </c>
      <c r="Q37" s="598" t="str">
        <f t="shared" si="2"/>
        <v>-</v>
      </c>
      <c r="R37" s="599" t="str">
        <f t="shared" si="3"/>
        <v>-</v>
      </c>
      <c r="S37" s="598" t="str">
        <f t="shared" si="4"/>
        <v>-</v>
      </c>
      <c r="T37" s="600" t="str">
        <f t="shared" si="5"/>
        <v>-</v>
      </c>
      <c r="U37" s="31"/>
      <c r="V37" s="610" t="str">
        <f t="shared" si="6"/>
        <v>-</v>
      </c>
      <c r="W37" s="611" t="str">
        <f t="shared" si="7"/>
        <v>-</v>
      </c>
      <c r="X37" s="612" t="str">
        <f t="shared" si="8"/>
        <v>-</v>
      </c>
      <c r="Y37" s="613" t="str">
        <f t="shared" si="9"/>
        <v>-</v>
      </c>
      <c r="Z37" s="614" t="str">
        <f t="shared" si="10"/>
        <v>-</v>
      </c>
      <c r="AB37" s="201" t="s">
        <v>0</v>
      </c>
    </row>
    <row r="38" spans="1:28" ht="15" customHeight="1" x14ac:dyDescent="0.25">
      <c r="A38" s="5"/>
      <c r="B38" s="38">
        <v>28</v>
      </c>
      <c r="C38" s="205" t="s">
        <v>5</v>
      </c>
      <c r="D38" s="205" t="s">
        <v>5</v>
      </c>
      <c r="E38" s="205" t="s">
        <v>5</v>
      </c>
      <c r="F38" s="205" t="s">
        <v>5</v>
      </c>
      <c r="G38" s="205" t="s">
        <v>5</v>
      </c>
      <c r="H38" s="444"/>
      <c r="I38" s="582" t="s">
        <v>5</v>
      </c>
      <c r="J38" s="582" t="s">
        <v>5</v>
      </c>
      <c r="K38" s="287">
        <f t="shared" si="11"/>
        <v>-0.27971428571428575</v>
      </c>
      <c r="L38" s="287">
        <f t="shared" si="12"/>
        <v>0.25314285714285734</v>
      </c>
      <c r="M38" s="287">
        <f t="shared" si="13"/>
        <v>-0.19314285714285712</v>
      </c>
      <c r="N38" s="574">
        <f t="shared" si="14"/>
        <v>0.17542857142857132</v>
      </c>
      <c r="O38" s="597" t="str">
        <f t="shared" si="0"/>
        <v>-</v>
      </c>
      <c r="P38" s="597" t="str">
        <f t="shared" si="1"/>
        <v>-</v>
      </c>
      <c r="Q38" s="598" t="str">
        <f t="shared" si="2"/>
        <v>-</v>
      </c>
      <c r="R38" s="599" t="str">
        <f t="shared" si="3"/>
        <v>-</v>
      </c>
      <c r="S38" s="598" t="str">
        <f t="shared" si="4"/>
        <v>-</v>
      </c>
      <c r="T38" s="600" t="str">
        <f t="shared" si="5"/>
        <v>-</v>
      </c>
      <c r="U38" s="31"/>
      <c r="V38" s="610" t="str">
        <f t="shared" si="6"/>
        <v>-</v>
      </c>
      <c r="W38" s="611" t="str">
        <f t="shared" si="7"/>
        <v>-</v>
      </c>
      <c r="X38" s="612" t="str">
        <f t="shared" si="8"/>
        <v>-</v>
      </c>
      <c r="Y38" s="613" t="str">
        <f t="shared" si="9"/>
        <v>-</v>
      </c>
      <c r="Z38" s="614" t="str">
        <f t="shared" si="10"/>
        <v>-</v>
      </c>
      <c r="AB38" s="201" t="s">
        <v>0</v>
      </c>
    </row>
    <row r="39" spans="1:28" ht="15" customHeight="1" x14ac:dyDescent="0.25">
      <c r="A39" s="5"/>
      <c r="B39" s="303">
        <v>29</v>
      </c>
      <c r="C39" s="205" t="s">
        <v>5</v>
      </c>
      <c r="D39" s="205" t="s">
        <v>5</v>
      </c>
      <c r="E39" s="205" t="s">
        <v>5</v>
      </c>
      <c r="F39" s="205" t="s">
        <v>5</v>
      </c>
      <c r="G39" s="205" t="s">
        <v>5</v>
      </c>
      <c r="H39" s="444"/>
      <c r="I39" s="582" t="s">
        <v>5</v>
      </c>
      <c r="J39" s="582" t="s">
        <v>5</v>
      </c>
      <c r="K39" s="287">
        <f t="shared" si="11"/>
        <v>-0.27842857142857147</v>
      </c>
      <c r="L39" s="287">
        <f t="shared" si="12"/>
        <v>0.2522857142857145</v>
      </c>
      <c r="M39" s="287">
        <f t="shared" si="13"/>
        <v>-0.19228571428571425</v>
      </c>
      <c r="N39" s="574">
        <f t="shared" si="14"/>
        <v>0.17485714285714274</v>
      </c>
      <c r="O39" s="597" t="str">
        <f t="shared" si="0"/>
        <v>-</v>
      </c>
      <c r="P39" s="597" t="str">
        <f t="shared" si="1"/>
        <v>-</v>
      </c>
      <c r="Q39" s="598" t="str">
        <f t="shared" si="2"/>
        <v>-</v>
      </c>
      <c r="R39" s="599" t="str">
        <f t="shared" si="3"/>
        <v>-</v>
      </c>
      <c r="S39" s="598" t="str">
        <f t="shared" si="4"/>
        <v>-</v>
      </c>
      <c r="T39" s="600" t="str">
        <f t="shared" si="5"/>
        <v>-</v>
      </c>
      <c r="U39" s="31"/>
      <c r="V39" s="610" t="str">
        <f t="shared" si="6"/>
        <v>-</v>
      </c>
      <c r="W39" s="611" t="str">
        <f t="shared" si="7"/>
        <v>-</v>
      </c>
      <c r="X39" s="612" t="str">
        <f t="shared" si="8"/>
        <v>-</v>
      </c>
      <c r="Y39" s="613" t="str">
        <f t="shared" si="9"/>
        <v>-</v>
      </c>
      <c r="Z39" s="614" t="str">
        <f t="shared" si="10"/>
        <v>-</v>
      </c>
      <c r="AB39" s="201" t="s">
        <v>0</v>
      </c>
    </row>
    <row r="40" spans="1:28" ht="15" customHeight="1" x14ac:dyDescent="0.25">
      <c r="A40" s="5"/>
      <c r="B40" s="38">
        <v>30</v>
      </c>
      <c r="C40" s="205" t="s">
        <v>5</v>
      </c>
      <c r="D40" s="205" t="s">
        <v>5</v>
      </c>
      <c r="E40" s="205" t="s">
        <v>5</v>
      </c>
      <c r="F40" s="205" t="s">
        <v>5</v>
      </c>
      <c r="G40" s="205" t="s">
        <v>5</v>
      </c>
      <c r="H40" s="444"/>
      <c r="I40" s="582" t="s">
        <v>5</v>
      </c>
      <c r="J40" s="582" t="s">
        <v>5</v>
      </c>
      <c r="K40" s="287">
        <f t="shared" si="11"/>
        <v>-0.27714285714285719</v>
      </c>
      <c r="L40" s="287">
        <f t="shared" si="12"/>
        <v>0.25142857142857167</v>
      </c>
      <c r="M40" s="287">
        <f t="shared" si="13"/>
        <v>-0.19142857142857139</v>
      </c>
      <c r="N40" s="574">
        <f t="shared" si="14"/>
        <v>0.17428571428571416</v>
      </c>
      <c r="O40" s="597" t="str">
        <f t="shared" si="0"/>
        <v>-</v>
      </c>
      <c r="P40" s="597" t="str">
        <f t="shared" si="1"/>
        <v>-</v>
      </c>
      <c r="Q40" s="598" t="str">
        <f t="shared" si="2"/>
        <v>-</v>
      </c>
      <c r="R40" s="599" t="str">
        <f t="shared" si="3"/>
        <v>-</v>
      </c>
      <c r="S40" s="598" t="str">
        <f t="shared" si="4"/>
        <v>-</v>
      </c>
      <c r="T40" s="600" t="str">
        <f t="shared" si="5"/>
        <v>-</v>
      </c>
      <c r="U40" s="31"/>
      <c r="V40" s="610" t="str">
        <f t="shared" si="6"/>
        <v>-</v>
      </c>
      <c r="W40" s="611" t="str">
        <f t="shared" si="7"/>
        <v>-</v>
      </c>
      <c r="X40" s="612" t="str">
        <f t="shared" si="8"/>
        <v>-</v>
      </c>
      <c r="Y40" s="613" t="str">
        <f t="shared" si="9"/>
        <v>-</v>
      </c>
      <c r="Z40" s="614" t="str">
        <f t="shared" si="10"/>
        <v>-</v>
      </c>
      <c r="AB40" s="201" t="s">
        <v>0</v>
      </c>
    </row>
    <row r="41" spans="1:28" ht="15" customHeight="1" x14ac:dyDescent="0.25">
      <c r="A41" s="5"/>
      <c r="B41" s="303">
        <v>31</v>
      </c>
      <c r="C41" s="205" t="s">
        <v>5</v>
      </c>
      <c r="D41" s="205" t="s">
        <v>5</v>
      </c>
      <c r="E41" s="205" t="s">
        <v>5</v>
      </c>
      <c r="F41" s="205" t="s">
        <v>5</v>
      </c>
      <c r="G41" s="205" t="s">
        <v>5</v>
      </c>
      <c r="H41" s="444"/>
      <c r="I41" s="582" t="s">
        <v>5</v>
      </c>
      <c r="J41" s="582" t="s">
        <v>5</v>
      </c>
      <c r="K41" s="287">
        <f t="shared" si="11"/>
        <v>-0.27585714285714291</v>
      </c>
      <c r="L41" s="287">
        <f t="shared" si="12"/>
        <v>0.25057142857142883</v>
      </c>
      <c r="M41" s="287">
        <f t="shared" si="13"/>
        <v>-0.19057142857142853</v>
      </c>
      <c r="N41" s="574">
        <f t="shared" si="14"/>
        <v>0.17371428571428557</v>
      </c>
      <c r="O41" s="597" t="str">
        <f t="shared" si="0"/>
        <v>-</v>
      </c>
      <c r="P41" s="597" t="str">
        <f t="shared" si="1"/>
        <v>-</v>
      </c>
      <c r="Q41" s="598" t="str">
        <f t="shared" si="2"/>
        <v>-</v>
      </c>
      <c r="R41" s="599" t="str">
        <f t="shared" si="3"/>
        <v>-</v>
      </c>
      <c r="S41" s="598" t="str">
        <f t="shared" si="4"/>
        <v>-</v>
      </c>
      <c r="T41" s="600" t="str">
        <f t="shared" si="5"/>
        <v>-</v>
      </c>
      <c r="U41" s="31"/>
      <c r="V41" s="610" t="str">
        <f t="shared" si="6"/>
        <v>-</v>
      </c>
      <c r="W41" s="611" t="str">
        <f t="shared" si="7"/>
        <v>-</v>
      </c>
      <c r="X41" s="612" t="str">
        <f t="shared" si="8"/>
        <v>-</v>
      </c>
      <c r="Y41" s="613" t="str">
        <f t="shared" si="9"/>
        <v>-</v>
      </c>
      <c r="Z41" s="614" t="str">
        <f t="shared" si="10"/>
        <v>-</v>
      </c>
      <c r="AB41" s="201" t="s">
        <v>0</v>
      </c>
    </row>
    <row r="42" spans="1:28" ht="15" customHeight="1" x14ac:dyDescent="0.25">
      <c r="A42" s="5"/>
      <c r="B42" s="38">
        <v>32</v>
      </c>
      <c r="C42" s="205" t="s">
        <v>5</v>
      </c>
      <c r="D42" s="205" t="s">
        <v>5</v>
      </c>
      <c r="E42" s="205" t="s">
        <v>5</v>
      </c>
      <c r="F42" s="205" t="s">
        <v>5</v>
      </c>
      <c r="G42" s="205" t="s">
        <v>5</v>
      </c>
      <c r="H42" s="444"/>
      <c r="I42" s="582" t="s">
        <v>5</v>
      </c>
      <c r="J42" s="582" t="s">
        <v>5</v>
      </c>
      <c r="K42" s="287">
        <f t="shared" si="11"/>
        <v>-0.27457142857142863</v>
      </c>
      <c r="L42" s="287">
        <f t="shared" si="12"/>
        <v>0.24971428571428597</v>
      </c>
      <c r="M42" s="287">
        <f t="shared" si="13"/>
        <v>-0.18971428571428567</v>
      </c>
      <c r="N42" s="574">
        <f t="shared" si="14"/>
        <v>0.17314285714285699</v>
      </c>
      <c r="O42" s="597" t="str">
        <f t="shared" si="0"/>
        <v>-</v>
      </c>
      <c r="P42" s="597" t="str">
        <f t="shared" si="1"/>
        <v>-</v>
      </c>
      <c r="Q42" s="598" t="str">
        <f t="shared" si="2"/>
        <v>-</v>
      </c>
      <c r="R42" s="599" t="str">
        <f t="shared" si="3"/>
        <v>-</v>
      </c>
      <c r="S42" s="598" t="str">
        <f t="shared" si="4"/>
        <v>-</v>
      </c>
      <c r="T42" s="600" t="str">
        <f t="shared" si="5"/>
        <v>-</v>
      </c>
      <c r="U42" s="31"/>
      <c r="V42" s="610" t="str">
        <f t="shared" si="6"/>
        <v>-</v>
      </c>
      <c r="W42" s="611" t="str">
        <f t="shared" si="7"/>
        <v>-</v>
      </c>
      <c r="X42" s="612" t="str">
        <f t="shared" si="8"/>
        <v>-</v>
      </c>
      <c r="Y42" s="613" t="str">
        <f t="shared" si="9"/>
        <v>-</v>
      </c>
      <c r="Z42" s="614" t="str">
        <f t="shared" si="10"/>
        <v>-</v>
      </c>
      <c r="AB42" s="201" t="s">
        <v>0</v>
      </c>
    </row>
    <row r="43" spans="1:28" ht="15" customHeight="1" x14ac:dyDescent="0.25">
      <c r="A43" s="5"/>
      <c r="B43" s="303">
        <v>33</v>
      </c>
      <c r="C43" s="205" t="s">
        <v>5</v>
      </c>
      <c r="D43" s="205" t="s">
        <v>5</v>
      </c>
      <c r="E43" s="205" t="s">
        <v>5</v>
      </c>
      <c r="F43" s="205" t="s">
        <v>5</v>
      </c>
      <c r="G43" s="205" t="s">
        <v>5</v>
      </c>
      <c r="H43" s="444"/>
      <c r="I43" s="582" t="s">
        <v>5</v>
      </c>
      <c r="J43" s="582" t="s">
        <v>5</v>
      </c>
      <c r="K43" s="287">
        <f t="shared" si="11"/>
        <v>-0.27328571428571435</v>
      </c>
      <c r="L43" s="287">
        <f t="shared" si="12"/>
        <v>0.24885714285714311</v>
      </c>
      <c r="M43" s="287">
        <f t="shared" si="13"/>
        <v>-0.18885714285714281</v>
      </c>
      <c r="N43" s="574">
        <f t="shared" si="14"/>
        <v>0.1725714285714284</v>
      </c>
      <c r="O43" s="597" t="str">
        <f t="shared" si="0"/>
        <v>-</v>
      </c>
      <c r="P43" s="597" t="str">
        <f t="shared" si="1"/>
        <v>-</v>
      </c>
      <c r="Q43" s="598" t="str">
        <f t="shared" si="2"/>
        <v>-</v>
      </c>
      <c r="R43" s="599" t="str">
        <f t="shared" si="3"/>
        <v>-</v>
      </c>
      <c r="S43" s="598" t="str">
        <f t="shared" si="4"/>
        <v>-</v>
      </c>
      <c r="T43" s="600" t="str">
        <f t="shared" si="5"/>
        <v>-</v>
      </c>
      <c r="U43" s="31"/>
      <c r="V43" s="610" t="str">
        <f t="shared" si="6"/>
        <v>-</v>
      </c>
      <c r="W43" s="611" t="str">
        <f t="shared" si="7"/>
        <v>-</v>
      </c>
      <c r="X43" s="612" t="str">
        <f t="shared" si="8"/>
        <v>-</v>
      </c>
      <c r="Y43" s="613" t="str">
        <f t="shared" si="9"/>
        <v>-</v>
      </c>
      <c r="Z43" s="614" t="str">
        <f t="shared" si="10"/>
        <v>-</v>
      </c>
      <c r="AB43" s="201" t="s">
        <v>0</v>
      </c>
    </row>
    <row r="44" spans="1:28" ht="15" customHeight="1" x14ac:dyDescent="0.25">
      <c r="A44" s="5"/>
      <c r="B44" s="38">
        <v>34</v>
      </c>
      <c r="C44" s="205" t="s">
        <v>5</v>
      </c>
      <c r="D44" s="205" t="s">
        <v>5</v>
      </c>
      <c r="E44" s="205" t="s">
        <v>5</v>
      </c>
      <c r="F44" s="205" t="s">
        <v>5</v>
      </c>
      <c r="G44" s="205" t="s">
        <v>5</v>
      </c>
      <c r="H44" s="444"/>
      <c r="I44" s="582" t="s">
        <v>5</v>
      </c>
      <c r="J44" s="582" t="s">
        <v>5</v>
      </c>
      <c r="K44" s="287">
        <f t="shared" si="11"/>
        <v>-0.27200000000000008</v>
      </c>
      <c r="L44" s="287">
        <f t="shared" si="12"/>
        <v>0.24800000000000025</v>
      </c>
      <c r="M44" s="287">
        <f t="shared" si="13"/>
        <v>-0.18799999999999994</v>
      </c>
      <c r="N44" s="574">
        <f t="shared" si="14"/>
        <v>0.17199999999999982</v>
      </c>
      <c r="O44" s="597" t="str">
        <f t="shared" si="0"/>
        <v>-</v>
      </c>
      <c r="P44" s="597" t="str">
        <f t="shared" si="1"/>
        <v>-</v>
      </c>
      <c r="Q44" s="598" t="str">
        <f t="shared" si="2"/>
        <v>-</v>
      </c>
      <c r="R44" s="599" t="str">
        <f t="shared" si="3"/>
        <v>-</v>
      </c>
      <c r="S44" s="598" t="str">
        <f t="shared" si="4"/>
        <v>-</v>
      </c>
      <c r="T44" s="600" t="str">
        <f t="shared" si="5"/>
        <v>-</v>
      </c>
      <c r="U44" s="31"/>
      <c r="V44" s="610" t="str">
        <f t="shared" si="6"/>
        <v>-</v>
      </c>
      <c r="W44" s="611" t="str">
        <f t="shared" si="7"/>
        <v>-</v>
      </c>
      <c r="X44" s="612" t="str">
        <f t="shared" si="8"/>
        <v>-</v>
      </c>
      <c r="Y44" s="613" t="str">
        <f t="shared" si="9"/>
        <v>-</v>
      </c>
      <c r="Z44" s="614" t="str">
        <f t="shared" si="10"/>
        <v>-</v>
      </c>
      <c r="AB44" s="201" t="s">
        <v>0</v>
      </c>
    </row>
    <row r="45" spans="1:28" ht="15" customHeight="1" x14ac:dyDescent="0.25">
      <c r="A45" s="5"/>
      <c r="B45" s="303">
        <v>35</v>
      </c>
      <c r="C45" s="205" t="s">
        <v>5</v>
      </c>
      <c r="D45" s="205" t="s">
        <v>5</v>
      </c>
      <c r="E45" s="205" t="s">
        <v>5</v>
      </c>
      <c r="F45" s="205" t="s">
        <v>5</v>
      </c>
      <c r="G45" s="205" t="s">
        <v>5</v>
      </c>
      <c r="H45" s="444"/>
      <c r="I45" s="582" t="s">
        <v>5</v>
      </c>
      <c r="J45" s="582" t="s">
        <v>5</v>
      </c>
      <c r="K45" s="287">
        <f t="shared" si="11"/>
        <v>-0.2707142857142858</v>
      </c>
      <c r="L45" s="287">
        <f t="shared" si="12"/>
        <v>0.24714285714285739</v>
      </c>
      <c r="M45" s="287">
        <f t="shared" si="13"/>
        <v>-0.18714285714285708</v>
      </c>
      <c r="N45" s="574">
        <f t="shared" si="14"/>
        <v>0.17142857142857124</v>
      </c>
      <c r="O45" s="597" t="str">
        <f t="shared" si="0"/>
        <v>-</v>
      </c>
      <c r="P45" s="597" t="str">
        <f t="shared" si="1"/>
        <v>-</v>
      </c>
      <c r="Q45" s="598" t="str">
        <f t="shared" si="2"/>
        <v>-</v>
      </c>
      <c r="R45" s="599" t="str">
        <f t="shared" si="3"/>
        <v>-</v>
      </c>
      <c r="S45" s="598" t="str">
        <f t="shared" si="4"/>
        <v>-</v>
      </c>
      <c r="T45" s="600" t="str">
        <f t="shared" si="5"/>
        <v>-</v>
      </c>
      <c r="U45" s="31"/>
      <c r="V45" s="610" t="str">
        <f t="shared" si="6"/>
        <v>-</v>
      </c>
      <c r="W45" s="611" t="str">
        <f t="shared" si="7"/>
        <v>-</v>
      </c>
      <c r="X45" s="612" t="str">
        <f t="shared" si="8"/>
        <v>-</v>
      </c>
      <c r="Y45" s="613" t="str">
        <f t="shared" si="9"/>
        <v>-</v>
      </c>
      <c r="Z45" s="614" t="str">
        <f t="shared" si="10"/>
        <v>-</v>
      </c>
      <c r="AB45" s="201" t="s">
        <v>0</v>
      </c>
    </row>
    <row r="46" spans="1:28" ht="15" customHeight="1" x14ac:dyDescent="0.25">
      <c r="A46" s="5"/>
      <c r="B46" s="38">
        <v>36</v>
      </c>
      <c r="C46" s="205" t="s">
        <v>5</v>
      </c>
      <c r="D46" s="205" t="s">
        <v>5</v>
      </c>
      <c r="E46" s="205" t="s">
        <v>5</v>
      </c>
      <c r="F46" s="205" t="s">
        <v>5</v>
      </c>
      <c r="G46" s="205" t="s">
        <v>5</v>
      </c>
      <c r="H46" s="444"/>
      <c r="I46" s="582" t="s">
        <v>5</v>
      </c>
      <c r="J46" s="582" t="s">
        <v>5</v>
      </c>
      <c r="K46" s="287">
        <f t="shared" si="11"/>
        <v>-0.26942857142857152</v>
      </c>
      <c r="L46" s="287">
        <f t="shared" si="12"/>
        <v>0.24628571428571452</v>
      </c>
      <c r="M46" s="287">
        <f t="shared" si="13"/>
        <v>-0.18628571428571422</v>
      </c>
      <c r="N46" s="574">
        <f t="shared" si="14"/>
        <v>0.17085714285714265</v>
      </c>
      <c r="O46" s="597" t="str">
        <f t="shared" si="0"/>
        <v>-</v>
      </c>
      <c r="P46" s="597" t="str">
        <f t="shared" si="1"/>
        <v>-</v>
      </c>
      <c r="Q46" s="598" t="str">
        <f t="shared" si="2"/>
        <v>-</v>
      </c>
      <c r="R46" s="599" t="str">
        <f t="shared" si="3"/>
        <v>-</v>
      </c>
      <c r="S46" s="598" t="str">
        <f t="shared" si="4"/>
        <v>-</v>
      </c>
      <c r="T46" s="600" t="str">
        <f t="shared" si="5"/>
        <v>-</v>
      </c>
      <c r="U46" s="31"/>
      <c r="V46" s="610" t="str">
        <f t="shared" si="6"/>
        <v>-</v>
      </c>
      <c r="W46" s="611" t="str">
        <f t="shared" si="7"/>
        <v>-</v>
      </c>
      <c r="X46" s="612" t="str">
        <f t="shared" si="8"/>
        <v>-</v>
      </c>
      <c r="Y46" s="613" t="str">
        <f t="shared" si="9"/>
        <v>-</v>
      </c>
      <c r="Z46" s="614" t="str">
        <f t="shared" si="10"/>
        <v>-</v>
      </c>
      <c r="AB46" s="201" t="s">
        <v>0</v>
      </c>
    </row>
    <row r="47" spans="1:28" ht="15" customHeight="1" x14ac:dyDescent="0.25">
      <c r="A47" s="5"/>
      <c r="B47" s="303">
        <v>37</v>
      </c>
      <c r="C47" s="205" t="s">
        <v>5</v>
      </c>
      <c r="D47" s="205" t="s">
        <v>5</v>
      </c>
      <c r="E47" s="205" t="s">
        <v>5</v>
      </c>
      <c r="F47" s="205" t="s">
        <v>5</v>
      </c>
      <c r="G47" s="205" t="s">
        <v>5</v>
      </c>
      <c r="H47" s="444"/>
      <c r="I47" s="582" t="s">
        <v>5</v>
      </c>
      <c r="J47" s="582" t="s">
        <v>5</v>
      </c>
      <c r="K47" s="287">
        <f t="shared" si="11"/>
        <v>-0.26814285714285724</v>
      </c>
      <c r="L47" s="287">
        <f t="shared" si="12"/>
        <v>0.24542857142857166</v>
      </c>
      <c r="M47" s="287">
        <f t="shared" si="13"/>
        <v>-0.18542857142857136</v>
      </c>
      <c r="N47" s="574">
        <f t="shared" si="14"/>
        <v>0.17028571428571407</v>
      </c>
      <c r="O47" s="597" t="str">
        <f t="shared" si="0"/>
        <v>-</v>
      </c>
      <c r="P47" s="597" t="str">
        <f t="shared" si="1"/>
        <v>-</v>
      </c>
      <c r="Q47" s="598" t="str">
        <f t="shared" si="2"/>
        <v>-</v>
      </c>
      <c r="R47" s="599" t="str">
        <f t="shared" si="3"/>
        <v>-</v>
      </c>
      <c r="S47" s="598" t="str">
        <f t="shared" si="4"/>
        <v>-</v>
      </c>
      <c r="T47" s="600" t="str">
        <f t="shared" si="5"/>
        <v>-</v>
      </c>
      <c r="U47" s="31"/>
      <c r="V47" s="610" t="str">
        <f t="shared" si="6"/>
        <v>-</v>
      </c>
      <c r="W47" s="611" t="str">
        <f t="shared" si="7"/>
        <v>-</v>
      </c>
      <c r="X47" s="612" t="str">
        <f t="shared" si="8"/>
        <v>-</v>
      </c>
      <c r="Y47" s="613" t="str">
        <f t="shared" si="9"/>
        <v>-</v>
      </c>
      <c r="Z47" s="614" t="str">
        <f t="shared" si="10"/>
        <v>-</v>
      </c>
      <c r="AB47" s="201" t="s">
        <v>0</v>
      </c>
    </row>
    <row r="48" spans="1:28" ht="15" customHeight="1" x14ac:dyDescent="0.25">
      <c r="A48" s="5"/>
      <c r="B48" s="38">
        <v>38</v>
      </c>
      <c r="C48" s="205" t="s">
        <v>5</v>
      </c>
      <c r="D48" s="205" t="s">
        <v>5</v>
      </c>
      <c r="E48" s="205" t="s">
        <v>5</v>
      </c>
      <c r="F48" s="205" t="s">
        <v>5</v>
      </c>
      <c r="G48" s="205" t="s">
        <v>5</v>
      </c>
      <c r="H48" s="444"/>
      <c r="I48" s="582" t="s">
        <v>5</v>
      </c>
      <c r="J48" s="582" t="s">
        <v>5</v>
      </c>
      <c r="K48" s="287">
        <f t="shared" si="11"/>
        <v>-0.26685714285714296</v>
      </c>
      <c r="L48" s="287">
        <f t="shared" si="12"/>
        <v>0.2445714285714288</v>
      </c>
      <c r="M48" s="287">
        <f t="shared" si="13"/>
        <v>-0.1845714285714285</v>
      </c>
      <c r="N48" s="574">
        <f t="shared" si="14"/>
        <v>0.16971428571428548</v>
      </c>
      <c r="O48" s="597" t="str">
        <f t="shared" si="0"/>
        <v>-</v>
      </c>
      <c r="P48" s="597" t="str">
        <f t="shared" si="1"/>
        <v>-</v>
      </c>
      <c r="Q48" s="598" t="str">
        <f t="shared" si="2"/>
        <v>-</v>
      </c>
      <c r="R48" s="599" t="str">
        <f t="shared" si="3"/>
        <v>-</v>
      </c>
      <c r="S48" s="598" t="str">
        <f t="shared" si="4"/>
        <v>-</v>
      </c>
      <c r="T48" s="600" t="str">
        <f t="shared" si="5"/>
        <v>-</v>
      </c>
      <c r="U48" s="31"/>
      <c r="V48" s="610" t="str">
        <f t="shared" si="6"/>
        <v>-</v>
      </c>
      <c r="W48" s="611" t="str">
        <f t="shared" si="7"/>
        <v>-</v>
      </c>
      <c r="X48" s="612" t="str">
        <f t="shared" si="8"/>
        <v>-</v>
      </c>
      <c r="Y48" s="613" t="str">
        <f t="shared" si="9"/>
        <v>-</v>
      </c>
      <c r="Z48" s="614" t="str">
        <f t="shared" si="10"/>
        <v>-</v>
      </c>
      <c r="AB48" s="201" t="s">
        <v>0</v>
      </c>
    </row>
    <row r="49" spans="1:28" ht="15" customHeight="1" x14ac:dyDescent="0.25">
      <c r="A49" s="5"/>
      <c r="B49" s="303">
        <v>39</v>
      </c>
      <c r="C49" s="205" t="s">
        <v>5</v>
      </c>
      <c r="D49" s="205" t="s">
        <v>5</v>
      </c>
      <c r="E49" s="205" t="s">
        <v>5</v>
      </c>
      <c r="F49" s="205" t="s">
        <v>5</v>
      </c>
      <c r="G49" s="205" t="s">
        <v>5</v>
      </c>
      <c r="H49" s="444"/>
      <c r="I49" s="582" t="s">
        <v>5</v>
      </c>
      <c r="J49" s="582" t="s">
        <v>5</v>
      </c>
      <c r="K49" s="287">
        <f t="shared" si="11"/>
        <v>-0.26557142857142868</v>
      </c>
      <c r="L49" s="287">
        <f t="shared" si="12"/>
        <v>0.24371428571428594</v>
      </c>
      <c r="M49" s="287">
        <f t="shared" si="13"/>
        <v>-0.18371428571428564</v>
      </c>
      <c r="N49" s="574">
        <f t="shared" si="14"/>
        <v>0.1691428571428569</v>
      </c>
      <c r="O49" s="597" t="str">
        <f t="shared" si="0"/>
        <v>-</v>
      </c>
      <c r="P49" s="597" t="str">
        <f t="shared" si="1"/>
        <v>-</v>
      </c>
      <c r="Q49" s="598" t="str">
        <f t="shared" si="2"/>
        <v>-</v>
      </c>
      <c r="R49" s="599" t="str">
        <f t="shared" si="3"/>
        <v>-</v>
      </c>
      <c r="S49" s="598" t="str">
        <f t="shared" si="4"/>
        <v>-</v>
      </c>
      <c r="T49" s="600" t="str">
        <f t="shared" si="5"/>
        <v>-</v>
      </c>
      <c r="U49" s="31"/>
      <c r="V49" s="610" t="str">
        <f t="shared" si="6"/>
        <v>-</v>
      </c>
      <c r="W49" s="611" t="str">
        <f t="shared" si="7"/>
        <v>-</v>
      </c>
      <c r="X49" s="612" t="str">
        <f t="shared" si="8"/>
        <v>-</v>
      </c>
      <c r="Y49" s="613" t="str">
        <f t="shared" si="9"/>
        <v>-</v>
      </c>
      <c r="Z49" s="614" t="str">
        <f t="shared" si="10"/>
        <v>-</v>
      </c>
      <c r="AB49" s="201" t="s">
        <v>0</v>
      </c>
    </row>
    <row r="50" spans="1:28" ht="15" customHeight="1" x14ac:dyDescent="0.25">
      <c r="A50" s="5"/>
      <c r="B50" s="38">
        <v>40</v>
      </c>
      <c r="C50" s="205" t="s">
        <v>5</v>
      </c>
      <c r="D50" s="205" t="s">
        <v>5</v>
      </c>
      <c r="E50" s="205" t="s">
        <v>5</v>
      </c>
      <c r="F50" s="205" t="s">
        <v>5</v>
      </c>
      <c r="G50" s="205" t="s">
        <v>5</v>
      </c>
      <c r="H50" s="444"/>
      <c r="I50" s="582" t="s">
        <v>5</v>
      </c>
      <c r="J50" s="582" t="s">
        <v>5</v>
      </c>
      <c r="K50" s="287">
        <f t="shared" si="11"/>
        <v>-0.2642857142857144</v>
      </c>
      <c r="L50" s="287">
        <f t="shared" si="12"/>
        <v>0.24285714285714308</v>
      </c>
      <c r="M50" s="287">
        <f t="shared" si="13"/>
        <v>-0.18285714285714277</v>
      </c>
      <c r="N50" s="574">
        <f t="shared" si="14"/>
        <v>0.16857142857142832</v>
      </c>
      <c r="O50" s="597" t="str">
        <f t="shared" si="0"/>
        <v>-</v>
      </c>
      <c r="P50" s="597" t="str">
        <f t="shared" si="1"/>
        <v>-</v>
      </c>
      <c r="Q50" s="598" t="str">
        <f t="shared" si="2"/>
        <v>-</v>
      </c>
      <c r="R50" s="599" t="str">
        <f t="shared" si="3"/>
        <v>-</v>
      </c>
      <c r="S50" s="598" t="str">
        <f t="shared" si="4"/>
        <v>-</v>
      </c>
      <c r="T50" s="600" t="str">
        <f t="shared" si="5"/>
        <v>-</v>
      </c>
      <c r="U50" s="31"/>
      <c r="V50" s="610" t="str">
        <f t="shared" si="6"/>
        <v>-</v>
      </c>
      <c r="W50" s="611" t="str">
        <f t="shared" si="7"/>
        <v>-</v>
      </c>
      <c r="X50" s="612" t="str">
        <f t="shared" si="8"/>
        <v>-</v>
      </c>
      <c r="Y50" s="613" t="str">
        <f t="shared" si="9"/>
        <v>-</v>
      </c>
      <c r="Z50" s="614" t="str">
        <f t="shared" si="10"/>
        <v>-</v>
      </c>
      <c r="AB50" s="201" t="s">
        <v>0</v>
      </c>
    </row>
    <row r="51" spans="1:28" ht="15" customHeight="1" x14ac:dyDescent="0.25">
      <c r="A51" s="5"/>
      <c r="B51" s="303">
        <v>41</v>
      </c>
      <c r="C51" s="205" t="s">
        <v>5</v>
      </c>
      <c r="D51" s="205" t="s">
        <v>5</v>
      </c>
      <c r="E51" s="205" t="s">
        <v>5</v>
      </c>
      <c r="F51" s="205" t="s">
        <v>5</v>
      </c>
      <c r="G51" s="205" t="s">
        <v>5</v>
      </c>
      <c r="H51" s="444"/>
      <c r="I51" s="582" t="s">
        <v>5</v>
      </c>
      <c r="J51" s="582" t="s">
        <v>5</v>
      </c>
      <c r="K51" s="287">
        <f t="shared" si="11"/>
        <v>-0.26300000000000012</v>
      </c>
      <c r="L51" s="287">
        <f t="shared" si="12"/>
        <v>0.24200000000000021</v>
      </c>
      <c r="M51" s="287">
        <f t="shared" si="13"/>
        <v>-0.18199999999999991</v>
      </c>
      <c r="N51" s="574">
        <f t="shared" si="14"/>
        <v>0.16799999999999973</v>
      </c>
      <c r="O51" s="597" t="str">
        <f t="shared" si="0"/>
        <v>-</v>
      </c>
      <c r="P51" s="597" t="str">
        <f t="shared" si="1"/>
        <v>-</v>
      </c>
      <c r="Q51" s="598" t="str">
        <f t="shared" si="2"/>
        <v>-</v>
      </c>
      <c r="R51" s="599" t="str">
        <f t="shared" si="3"/>
        <v>-</v>
      </c>
      <c r="S51" s="598" t="str">
        <f t="shared" si="4"/>
        <v>-</v>
      </c>
      <c r="T51" s="600" t="str">
        <f t="shared" si="5"/>
        <v>-</v>
      </c>
      <c r="U51" s="31"/>
      <c r="V51" s="610" t="str">
        <f t="shared" si="6"/>
        <v>-</v>
      </c>
      <c r="W51" s="611" t="str">
        <f t="shared" si="7"/>
        <v>-</v>
      </c>
      <c r="X51" s="612" t="str">
        <f t="shared" si="8"/>
        <v>-</v>
      </c>
      <c r="Y51" s="613" t="str">
        <f t="shared" si="9"/>
        <v>-</v>
      </c>
      <c r="Z51" s="614" t="str">
        <f t="shared" si="10"/>
        <v>-</v>
      </c>
      <c r="AB51" s="201" t="s">
        <v>0</v>
      </c>
    </row>
    <row r="52" spans="1:28" ht="15" customHeight="1" x14ac:dyDescent="0.25">
      <c r="A52" s="5"/>
      <c r="B52" s="38">
        <v>42</v>
      </c>
      <c r="C52" s="205" t="s">
        <v>5</v>
      </c>
      <c r="D52" s="205" t="s">
        <v>5</v>
      </c>
      <c r="E52" s="205" t="s">
        <v>5</v>
      </c>
      <c r="F52" s="205" t="s">
        <v>5</v>
      </c>
      <c r="G52" s="205" t="s">
        <v>5</v>
      </c>
      <c r="H52" s="444"/>
      <c r="I52" s="582" t="s">
        <v>5</v>
      </c>
      <c r="J52" s="582" t="s">
        <v>5</v>
      </c>
      <c r="K52" s="287">
        <f t="shared" si="11"/>
        <v>-0.26171428571428584</v>
      </c>
      <c r="L52" s="287">
        <f t="shared" si="12"/>
        <v>0.24114285714285735</v>
      </c>
      <c r="M52" s="287">
        <f t="shared" si="13"/>
        <v>-0.18114285714285705</v>
      </c>
      <c r="N52" s="574">
        <f t="shared" si="14"/>
        <v>0.16742857142857115</v>
      </c>
      <c r="O52" s="597" t="str">
        <f t="shared" si="0"/>
        <v>-</v>
      </c>
      <c r="P52" s="597" t="str">
        <f t="shared" si="1"/>
        <v>-</v>
      </c>
      <c r="Q52" s="598" t="str">
        <f t="shared" si="2"/>
        <v>-</v>
      </c>
      <c r="R52" s="599" t="str">
        <f t="shared" si="3"/>
        <v>-</v>
      </c>
      <c r="S52" s="598" t="str">
        <f t="shared" si="4"/>
        <v>-</v>
      </c>
      <c r="T52" s="600" t="str">
        <f t="shared" si="5"/>
        <v>-</v>
      </c>
      <c r="U52" s="31"/>
      <c r="V52" s="610" t="str">
        <f t="shared" si="6"/>
        <v>-</v>
      </c>
      <c r="W52" s="611" t="str">
        <f t="shared" si="7"/>
        <v>-</v>
      </c>
      <c r="X52" s="612" t="str">
        <f t="shared" si="8"/>
        <v>-</v>
      </c>
      <c r="Y52" s="613" t="str">
        <f t="shared" si="9"/>
        <v>-</v>
      </c>
      <c r="Z52" s="614" t="str">
        <f t="shared" si="10"/>
        <v>-</v>
      </c>
      <c r="AB52" s="201" t="s">
        <v>0</v>
      </c>
    </row>
    <row r="53" spans="1:28" ht="15" customHeight="1" x14ac:dyDescent="0.25">
      <c r="A53" s="5"/>
      <c r="B53" s="303">
        <v>43</v>
      </c>
      <c r="C53" s="205" t="s">
        <v>5</v>
      </c>
      <c r="D53" s="205" t="s">
        <v>5</v>
      </c>
      <c r="E53" s="205" t="s">
        <v>5</v>
      </c>
      <c r="F53" s="205" t="s">
        <v>5</v>
      </c>
      <c r="G53" s="205" t="s">
        <v>5</v>
      </c>
      <c r="H53" s="444"/>
      <c r="I53" s="582" t="s">
        <v>5</v>
      </c>
      <c r="J53" s="582" t="s">
        <v>5</v>
      </c>
      <c r="K53" s="287">
        <f t="shared" si="11"/>
        <v>-0.26042857142857156</v>
      </c>
      <c r="L53" s="287">
        <f t="shared" si="12"/>
        <v>0.24028571428571449</v>
      </c>
      <c r="M53" s="287">
        <f t="shared" si="13"/>
        <v>-0.18028571428571419</v>
      </c>
      <c r="N53" s="574">
        <f t="shared" si="14"/>
        <v>0.16685714285714257</v>
      </c>
      <c r="O53" s="597" t="str">
        <f t="shared" si="0"/>
        <v>-</v>
      </c>
      <c r="P53" s="597" t="str">
        <f t="shared" si="1"/>
        <v>-</v>
      </c>
      <c r="Q53" s="598" t="str">
        <f t="shared" si="2"/>
        <v>-</v>
      </c>
      <c r="R53" s="599" t="str">
        <f t="shared" si="3"/>
        <v>-</v>
      </c>
      <c r="S53" s="598" t="str">
        <f t="shared" si="4"/>
        <v>-</v>
      </c>
      <c r="T53" s="600" t="str">
        <f t="shared" si="5"/>
        <v>-</v>
      </c>
      <c r="U53" s="31"/>
      <c r="V53" s="610" t="str">
        <f t="shared" si="6"/>
        <v>-</v>
      </c>
      <c r="W53" s="611" t="str">
        <f t="shared" si="7"/>
        <v>-</v>
      </c>
      <c r="X53" s="612" t="str">
        <f t="shared" si="8"/>
        <v>-</v>
      </c>
      <c r="Y53" s="613" t="str">
        <f t="shared" si="9"/>
        <v>-</v>
      </c>
      <c r="Z53" s="614" t="str">
        <f t="shared" si="10"/>
        <v>-</v>
      </c>
      <c r="AB53" s="201" t="s">
        <v>0</v>
      </c>
    </row>
    <row r="54" spans="1:28" ht="15" customHeight="1" x14ac:dyDescent="0.25">
      <c r="A54" s="5"/>
      <c r="B54" s="38">
        <v>44</v>
      </c>
      <c r="C54" s="205" t="s">
        <v>5</v>
      </c>
      <c r="D54" s="205" t="s">
        <v>5</v>
      </c>
      <c r="E54" s="205" t="s">
        <v>5</v>
      </c>
      <c r="F54" s="205" t="s">
        <v>5</v>
      </c>
      <c r="G54" s="205" t="s">
        <v>5</v>
      </c>
      <c r="H54" s="444"/>
      <c r="I54" s="582" t="s">
        <v>5</v>
      </c>
      <c r="J54" s="582" t="s">
        <v>5</v>
      </c>
      <c r="K54" s="287">
        <f t="shared" si="11"/>
        <v>-0.25914285714285729</v>
      </c>
      <c r="L54" s="287">
        <f t="shared" si="12"/>
        <v>0.23942857142857163</v>
      </c>
      <c r="M54" s="287">
        <f t="shared" si="13"/>
        <v>-0.17942857142857133</v>
      </c>
      <c r="N54" s="574">
        <f t="shared" si="14"/>
        <v>0.16628571428571398</v>
      </c>
      <c r="O54" s="597" t="str">
        <f t="shared" si="0"/>
        <v>-</v>
      </c>
      <c r="P54" s="597" t="str">
        <f t="shared" si="1"/>
        <v>-</v>
      </c>
      <c r="Q54" s="598" t="str">
        <f t="shared" si="2"/>
        <v>-</v>
      </c>
      <c r="R54" s="599" t="str">
        <f t="shared" si="3"/>
        <v>-</v>
      </c>
      <c r="S54" s="598" t="str">
        <f t="shared" si="4"/>
        <v>-</v>
      </c>
      <c r="T54" s="600" t="str">
        <f t="shared" si="5"/>
        <v>-</v>
      </c>
      <c r="U54" s="31"/>
      <c r="V54" s="610" t="str">
        <f t="shared" si="6"/>
        <v>-</v>
      </c>
      <c r="W54" s="611" t="str">
        <f t="shared" si="7"/>
        <v>-</v>
      </c>
      <c r="X54" s="612" t="str">
        <f t="shared" si="8"/>
        <v>-</v>
      </c>
      <c r="Y54" s="613" t="str">
        <f t="shared" si="9"/>
        <v>-</v>
      </c>
      <c r="Z54" s="614" t="str">
        <f t="shared" si="10"/>
        <v>-</v>
      </c>
      <c r="AB54" s="201" t="s">
        <v>0</v>
      </c>
    </row>
    <row r="55" spans="1:28" ht="15" customHeight="1" x14ac:dyDescent="0.25">
      <c r="A55" s="5"/>
      <c r="B55" s="303">
        <v>45</v>
      </c>
      <c r="C55" s="205" t="s">
        <v>5</v>
      </c>
      <c r="D55" s="205" t="s">
        <v>5</v>
      </c>
      <c r="E55" s="205" t="s">
        <v>5</v>
      </c>
      <c r="F55" s="205" t="s">
        <v>5</v>
      </c>
      <c r="G55" s="205" t="s">
        <v>5</v>
      </c>
      <c r="H55" s="444"/>
      <c r="I55" s="582" t="s">
        <v>5</v>
      </c>
      <c r="J55" s="582" t="s">
        <v>5</v>
      </c>
      <c r="K55" s="287">
        <f t="shared" si="11"/>
        <v>-0.25785714285714301</v>
      </c>
      <c r="L55" s="287">
        <f t="shared" si="12"/>
        <v>0.23857142857142877</v>
      </c>
      <c r="M55" s="287">
        <f t="shared" si="13"/>
        <v>-0.17857142857142846</v>
      </c>
      <c r="N55" s="574">
        <f t="shared" si="14"/>
        <v>0.1657142857142854</v>
      </c>
      <c r="O55" s="597" t="str">
        <f t="shared" si="0"/>
        <v>-</v>
      </c>
      <c r="P55" s="597" t="str">
        <f t="shared" si="1"/>
        <v>-</v>
      </c>
      <c r="Q55" s="598" t="str">
        <f t="shared" si="2"/>
        <v>-</v>
      </c>
      <c r="R55" s="599" t="str">
        <f t="shared" si="3"/>
        <v>-</v>
      </c>
      <c r="S55" s="598" t="str">
        <f t="shared" si="4"/>
        <v>-</v>
      </c>
      <c r="T55" s="600" t="str">
        <f t="shared" si="5"/>
        <v>-</v>
      </c>
      <c r="U55" s="31"/>
      <c r="V55" s="610" t="str">
        <f t="shared" si="6"/>
        <v>-</v>
      </c>
      <c r="W55" s="611" t="str">
        <f t="shared" si="7"/>
        <v>-</v>
      </c>
      <c r="X55" s="612" t="str">
        <f t="shared" si="8"/>
        <v>-</v>
      </c>
      <c r="Y55" s="613" t="str">
        <f t="shared" si="9"/>
        <v>-</v>
      </c>
      <c r="Z55" s="614" t="str">
        <f t="shared" si="10"/>
        <v>-</v>
      </c>
      <c r="AB55" s="201" t="s">
        <v>0</v>
      </c>
    </row>
    <row r="56" spans="1:28" ht="15" customHeight="1" x14ac:dyDescent="0.25">
      <c r="A56" s="5"/>
      <c r="B56" s="38">
        <v>46</v>
      </c>
      <c r="C56" s="205" t="s">
        <v>5</v>
      </c>
      <c r="D56" s="205" t="s">
        <v>5</v>
      </c>
      <c r="E56" s="205" t="s">
        <v>5</v>
      </c>
      <c r="F56" s="205" t="s">
        <v>5</v>
      </c>
      <c r="G56" s="205" t="s">
        <v>5</v>
      </c>
      <c r="H56" s="444"/>
      <c r="I56" s="582" t="s">
        <v>5</v>
      </c>
      <c r="J56" s="582" t="s">
        <v>5</v>
      </c>
      <c r="K56" s="287">
        <f t="shared" si="11"/>
        <v>-0.25657142857142873</v>
      </c>
      <c r="L56" s="287">
        <f t="shared" si="12"/>
        <v>0.23771428571428591</v>
      </c>
      <c r="M56" s="287">
        <f t="shared" si="13"/>
        <v>-0.1777142857142856</v>
      </c>
      <c r="N56" s="574">
        <f t="shared" si="14"/>
        <v>0.16514285714285681</v>
      </c>
      <c r="O56" s="597" t="str">
        <f t="shared" si="0"/>
        <v>-</v>
      </c>
      <c r="P56" s="597" t="str">
        <f t="shared" si="1"/>
        <v>-</v>
      </c>
      <c r="Q56" s="598" t="str">
        <f t="shared" si="2"/>
        <v>-</v>
      </c>
      <c r="R56" s="599" t="str">
        <f t="shared" si="3"/>
        <v>-</v>
      </c>
      <c r="S56" s="598" t="str">
        <f t="shared" si="4"/>
        <v>-</v>
      </c>
      <c r="T56" s="600" t="str">
        <f t="shared" si="5"/>
        <v>-</v>
      </c>
      <c r="U56" s="31"/>
      <c r="V56" s="610" t="str">
        <f t="shared" si="6"/>
        <v>-</v>
      </c>
      <c r="W56" s="611" t="str">
        <f t="shared" si="7"/>
        <v>-</v>
      </c>
      <c r="X56" s="612" t="str">
        <f t="shared" si="8"/>
        <v>-</v>
      </c>
      <c r="Y56" s="613" t="str">
        <f t="shared" si="9"/>
        <v>-</v>
      </c>
      <c r="Z56" s="614" t="str">
        <f t="shared" si="10"/>
        <v>-</v>
      </c>
      <c r="AB56" s="201" t="s">
        <v>0</v>
      </c>
    </row>
    <row r="57" spans="1:28" ht="15" customHeight="1" x14ac:dyDescent="0.25">
      <c r="A57" s="5"/>
      <c r="B57" s="303">
        <v>47</v>
      </c>
      <c r="C57" s="205" t="s">
        <v>5</v>
      </c>
      <c r="D57" s="205" t="s">
        <v>5</v>
      </c>
      <c r="E57" s="205" t="s">
        <v>5</v>
      </c>
      <c r="F57" s="205" t="s">
        <v>5</v>
      </c>
      <c r="G57" s="205" t="s">
        <v>5</v>
      </c>
      <c r="H57" s="444"/>
      <c r="I57" s="582" t="s">
        <v>5</v>
      </c>
      <c r="J57" s="582" t="s">
        <v>5</v>
      </c>
      <c r="K57" s="287">
        <f t="shared" si="11"/>
        <v>-0.25528571428571445</v>
      </c>
      <c r="L57" s="287">
        <f t="shared" si="12"/>
        <v>0.23685714285714304</v>
      </c>
      <c r="M57" s="287">
        <f t="shared" si="13"/>
        <v>-0.17685714285714274</v>
      </c>
      <c r="N57" s="574">
        <f t="shared" si="14"/>
        <v>0.16457142857142823</v>
      </c>
      <c r="O57" s="597" t="str">
        <f t="shared" si="0"/>
        <v>-</v>
      </c>
      <c r="P57" s="597" t="str">
        <f t="shared" si="1"/>
        <v>-</v>
      </c>
      <c r="Q57" s="598" t="str">
        <f t="shared" si="2"/>
        <v>-</v>
      </c>
      <c r="R57" s="599" t="str">
        <f t="shared" si="3"/>
        <v>-</v>
      </c>
      <c r="S57" s="598" t="str">
        <f t="shared" si="4"/>
        <v>-</v>
      </c>
      <c r="T57" s="600" t="str">
        <f t="shared" si="5"/>
        <v>-</v>
      </c>
      <c r="U57" s="31"/>
      <c r="V57" s="610" t="str">
        <f t="shared" si="6"/>
        <v>-</v>
      </c>
      <c r="W57" s="611" t="str">
        <f t="shared" si="7"/>
        <v>-</v>
      </c>
      <c r="X57" s="612" t="str">
        <f t="shared" si="8"/>
        <v>-</v>
      </c>
      <c r="Y57" s="613" t="str">
        <f t="shared" si="9"/>
        <v>-</v>
      </c>
      <c r="Z57" s="614" t="str">
        <f t="shared" si="10"/>
        <v>-</v>
      </c>
      <c r="AB57" s="201" t="s">
        <v>0</v>
      </c>
    </row>
    <row r="58" spans="1:28" ht="15" customHeight="1" x14ac:dyDescent="0.25">
      <c r="A58" s="5"/>
      <c r="B58" s="38">
        <v>48</v>
      </c>
      <c r="C58" s="205" t="s">
        <v>5</v>
      </c>
      <c r="D58" s="205" t="s">
        <v>5</v>
      </c>
      <c r="E58" s="205" t="s">
        <v>5</v>
      </c>
      <c r="F58" s="205" t="s">
        <v>5</v>
      </c>
      <c r="G58" s="205" t="s">
        <v>5</v>
      </c>
      <c r="H58" s="444"/>
      <c r="I58" s="582" t="s">
        <v>5</v>
      </c>
      <c r="J58" s="582" t="s">
        <v>5</v>
      </c>
      <c r="K58" s="287">
        <f t="shared" si="11"/>
        <v>-0.25400000000000017</v>
      </c>
      <c r="L58" s="287">
        <f t="shared" si="12"/>
        <v>0.23600000000000018</v>
      </c>
      <c r="M58" s="287">
        <f t="shared" si="13"/>
        <v>-0.17599999999999988</v>
      </c>
      <c r="N58" s="574">
        <f t="shared" si="14"/>
        <v>0.16399999999999965</v>
      </c>
      <c r="O58" s="597" t="str">
        <f t="shared" si="0"/>
        <v>-</v>
      </c>
      <c r="P58" s="597" t="str">
        <f t="shared" si="1"/>
        <v>-</v>
      </c>
      <c r="Q58" s="598" t="str">
        <f t="shared" si="2"/>
        <v>-</v>
      </c>
      <c r="R58" s="599" t="str">
        <f t="shared" si="3"/>
        <v>-</v>
      </c>
      <c r="S58" s="598" t="str">
        <f t="shared" si="4"/>
        <v>-</v>
      </c>
      <c r="T58" s="600" t="str">
        <f t="shared" si="5"/>
        <v>-</v>
      </c>
      <c r="U58" s="31"/>
      <c r="V58" s="610" t="str">
        <f t="shared" si="6"/>
        <v>-</v>
      </c>
      <c r="W58" s="611" t="str">
        <f t="shared" si="7"/>
        <v>-</v>
      </c>
      <c r="X58" s="612" t="str">
        <f t="shared" si="8"/>
        <v>-</v>
      </c>
      <c r="Y58" s="613" t="str">
        <f t="shared" si="9"/>
        <v>-</v>
      </c>
      <c r="Z58" s="614" t="str">
        <f t="shared" si="10"/>
        <v>-</v>
      </c>
      <c r="AB58" s="201" t="s">
        <v>0</v>
      </c>
    </row>
    <row r="59" spans="1:28" ht="15" customHeight="1" x14ac:dyDescent="0.25">
      <c r="A59" s="5"/>
      <c r="B59" s="303">
        <v>49</v>
      </c>
      <c r="C59" s="205" t="s">
        <v>5</v>
      </c>
      <c r="D59" s="205" t="s">
        <v>5</v>
      </c>
      <c r="E59" s="205" t="s">
        <v>5</v>
      </c>
      <c r="F59" s="205" t="s">
        <v>5</v>
      </c>
      <c r="G59" s="205" t="s">
        <v>5</v>
      </c>
      <c r="H59" s="444"/>
      <c r="I59" s="582" t="s">
        <v>5</v>
      </c>
      <c r="J59" s="582" t="s">
        <v>5</v>
      </c>
      <c r="K59" s="287">
        <f t="shared" si="11"/>
        <v>-0.25271428571428589</v>
      </c>
      <c r="L59" s="287">
        <f t="shared" si="12"/>
        <v>0.23514285714285732</v>
      </c>
      <c r="M59" s="287">
        <f t="shared" si="13"/>
        <v>-0.17514285714285702</v>
      </c>
      <c r="N59" s="574">
        <f t="shared" si="14"/>
        <v>0.16342857142857106</v>
      </c>
      <c r="O59" s="597" t="str">
        <f t="shared" si="0"/>
        <v>-</v>
      </c>
      <c r="P59" s="597" t="str">
        <f t="shared" si="1"/>
        <v>-</v>
      </c>
      <c r="Q59" s="598" t="str">
        <f t="shared" si="2"/>
        <v>-</v>
      </c>
      <c r="R59" s="599" t="str">
        <f t="shared" si="3"/>
        <v>-</v>
      </c>
      <c r="S59" s="598" t="str">
        <f t="shared" si="4"/>
        <v>-</v>
      </c>
      <c r="T59" s="600" t="str">
        <f t="shared" si="5"/>
        <v>-</v>
      </c>
      <c r="U59" s="31"/>
      <c r="V59" s="610" t="str">
        <f t="shared" si="6"/>
        <v>-</v>
      </c>
      <c r="W59" s="611" t="str">
        <f t="shared" si="7"/>
        <v>-</v>
      </c>
      <c r="X59" s="612" t="str">
        <f t="shared" si="8"/>
        <v>-</v>
      </c>
      <c r="Y59" s="613" t="str">
        <f t="shared" si="9"/>
        <v>-</v>
      </c>
      <c r="Z59" s="614" t="str">
        <f t="shared" si="10"/>
        <v>-</v>
      </c>
      <c r="AB59" s="201" t="s">
        <v>0</v>
      </c>
    </row>
    <row r="60" spans="1:28" ht="15" customHeight="1" x14ac:dyDescent="0.25">
      <c r="A60" s="5"/>
      <c r="B60" s="38">
        <v>50</v>
      </c>
      <c r="C60" s="205" t="s">
        <v>5</v>
      </c>
      <c r="D60" s="205" t="s">
        <v>5</v>
      </c>
      <c r="E60" s="205" t="s">
        <v>5</v>
      </c>
      <c r="F60" s="205" t="s">
        <v>5</v>
      </c>
      <c r="G60" s="205" t="s">
        <v>5</v>
      </c>
      <c r="H60" s="444"/>
      <c r="I60" s="582" t="s">
        <v>5</v>
      </c>
      <c r="J60" s="582" t="s">
        <v>5</v>
      </c>
      <c r="K60" s="287">
        <f t="shared" si="11"/>
        <v>-0.25142857142857161</v>
      </c>
      <c r="L60" s="287">
        <f t="shared" si="12"/>
        <v>0.23428571428571446</v>
      </c>
      <c r="M60" s="287">
        <f t="shared" si="13"/>
        <v>-0.17428571428571416</v>
      </c>
      <c r="N60" s="574">
        <f t="shared" si="14"/>
        <v>0.16285714285714248</v>
      </c>
      <c r="O60" s="597" t="str">
        <f t="shared" si="0"/>
        <v>-</v>
      </c>
      <c r="P60" s="597" t="str">
        <f t="shared" si="1"/>
        <v>-</v>
      </c>
      <c r="Q60" s="598" t="str">
        <f t="shared" si="2"/>
        <v>-</v>
      </c>
      <c r="R60" s="599" t="str">
        <f t="shared" si="3"/>
        <v>-</v>
      </c>
      <c r="S60" s="598" t="str">
        <f t="shared" si="4"/>
        <v>-</v>
      </c>
      <c r="T60" s="600" t="str">
        <f t="shared" si="5"/>
        <v>-</v>
      </c>
      <c r="U60" s="31"/>
      <c r="V60" s="610" t="str">
        <f t="shared" si="6"/>
        <v>-</v>
      </c>
      <c r="W60" s="611" t="str">
        <f t="shared" si="7"/>
        <v>-</v>
      </c>
      <c r="X60" s="612" t="str">
        <f t="shared" si="8"/>
        <v>-</v>
      </c>
      <c r="Y60" s="613" t="str">
        <f t="shared" si="9"/>
        <v>-</v>
      </c>
      <c r="Z60" s="614" t="str">
        <f t="shared" si="10"/>
        <v>-</v>
      </c>
      <c r="AB60" s="201" t="s">
        <v>0</v>
      </c>
    </row>
    <row r="61" spans="1:28" ht="15" customHeight="1" x14ac:dyDescent="0.25">
      <c r="A61" s="5"/>
      <c r="B61" s="303">
        <v>51</v>
      </c>
      <c r="C61" s="205" t="s">
        <v>5</v>
      </c>
      <c r="D61" s="205" t="s">
        <v>5</v>
      </c>
      <c r="E61" s="205" t="s">
        <v>5</v>
      </c>
      <c r="F61" s="205" t="s">
        <v>5</v>
      </c>
      <c r="G61" s="205" t="s">
        <v>5</v>
      </c>
      <c r="H61" s="444"/>
      <c r="I61" s="582" t="s">
        <v>5</v>
      </c>
      <c r="J61" s="582" t="s">
        <v>5</v>
      </c>
      <c r="K61" s="287">
        <f t="shared" si="11"/>
        <v>-0.25014285714285733</v>
      </c>
      <c r="L61" s="287">
        <f t="shared" si="12"/>
        <v>0.2334285714285716</v>
      </c>
      <c r="M61" s="287">
        <f t="shared" si="13"/>
        <v>-0.17342857142857129</v>
      </c>
      <c r="N61" s="574">
        <f t="shared" si="14"/>
        <v>0.16228571428571389</v>
      </c>
      <c r="O61" s="597" t="str">
        <f t="shared" si="0"/>
        <v>-</v>
      </c>
      <c r="P61" s="597" t="str">
        <f t="shared" si="1"/>
        <v>-</v>
      </c>
      <c r="Q61" s="598" t="str">
        <f t="shared" si="2"/>
        <v>-</v>
      </c>
      <c r="R61" s="599" t="str">
        <f t="shared" si="3"/>
        <v>-</v>
      </c>
      <c r="S61" s="598" t="str">
        <f t="shared" si="4"/>
        <v>-</v>
      </c>
      <c r="T61" s="600" t="str">
        <f t="shared" si="5"/>
        <v>-</v>
      </c>
      <c r="U61" s="31"/>
      <c r="V61" s="610" t="str">
        <f t="shared" si="6"/>
        <v>-</v>
      </c>
      <c r="W61" s="611" t="str">
        <f t="shared" si="7"/>
        <v>-</v>
      </c>
      <c r="X61" s="612" t="str">
        <f t="shared" si="8"/>
        <v>-</v>
      </c>
      <c r="Y61" s="613" t="str">
        <f t="shared" si="9"/>
        <v>-</v>
      </c>
      <c r="Z61" s="614" t="str">
        <f t="shared" si="10"/>
        <v>-</v>
      </c>
      <c r="AB61" s="201" t="s">
        <v>0</v>
      </c>
    </row>
    <row r="62" spans="1:28" ht="15" customHeight="1" x14ac:dyDescent="0.25">
      <c r="A62" s="5"/>
      <c r="B62" s="38">
        <v>52</v>
      </c>
      <c r="C62" s="205" t="s">
        <v>5</v>
      </c>
      <c r="D62" s="205" t="s">
        <v>5</v>
      </c>
      <c r="E62" s="205" t="s">
        <v>5</v>
      </c>
      <c r="F62" s="205" t="s">
        <v>5</v>
      </c>
      <c r="G62" s="205" t="s">
        <v>5</v>
      </c>
      <c r="H62" s="444"/>
      <c r="I62" s="582" t="s">
        <v>5</v>
      </c>
      <c r="J62" s="582" t="s">
        <v>5</v>
      </c>
      <c r="K62" s="287">
        <f t="shared" si="11"/>
        <v>-0.24885714285714305</v>
      </c>
      <c r="L62" s="287">
        <f t="shared" si="12"/>
        <v>0.23257142857142873</v>
      </c>
      <c r="M62" s="287">
        <f t="shared" si="13"/>
        <v>-0.17257142857142843</v>
      </c>
      <c r="N62" s="574">
        <f t="shared" si="14"/>
        <v>0.16171428571428531</v>
      </c>
      <c r="O62" s="597" t="str">
        <f t="shared" si="0"/>
        <v>-</v>
      </c>
      <c r="P62" s="597" t="str">
        <f t="shared" si="1"/>
        <v>-</v>
      </c>
      <c r="Q62" s="598" t="str">
        <f t="shared" si="2"/>
        <v>-</v>
      </c>
      <c r="R62" s="599" t="str">
        <f t="shared" si="3"/>
        <v>-</v>
      </c>
      <c r="S62" s="598" t="str">
        <f t="shared" si="4"/>
        <v>-</v>
      </c>
      <c r="T62" s="600" t="str">
        <f t="shared" si="5"/>
        <v>-</v>
      </c>
      <c r="U62" s="31"/>
      <c r="V62" s="610" t="str">
        <f t="shared" si="6"/>
        <v>-</v>
      </c>
      <c r="W62" s="611" t="str">
        <f t="shared" si="7"/>
        <v>-</v>
      </c>
      <c r="X62" s="612" t="str">
        <f t="shared" si="8"/>
        <v>-</v>
      </c>
      <c r="Y62" s="613" t="str">
        <f t="shared" si="9"/>
        <v>-</v>
      </c>
      <c r="Z62" s="614" t="str">
        <f t="shared" si="10"/>
        <v>-</v>
      </c>
      <c r="AB62" s="201" t="s">
        <v>0</v>
      </c>
    </row>
    <row r="63" spans="1:28" ht="15" customHeight="1" x14ac:dyDescent="0.25">
      <c r="A63" s="5"/>
      <c r="B63" s="303">
        <v>53</v>
      </c>
      <c r="C63" s="205" t="s">
        <v>5</v>
      </c>
      <c r="D63" s="205" t="s">
        <v>5</v>
      </c>
      <c r="E63" s="205" t="s">
        <v>5</v>
      </c>
      <c r="F63" s="205" t="s">
        <v>5</v>
      </c>
      <c r="G63" s="205" t="s">
        <v>5</v>
      </c>
      <c r="H63" s="444"/>
      <c r="I63" s="582" t="s">
        <v>5</v>
      </c>
      <c r="J63" s="582" t="s">
        <v>5</v>
      </c>
      <c r="K63" s="287">
        <f t="shared" ref="K63:K99" si="15">K62+(($K$100-$K$30)/($B$100-$B$30))</f>
        <v>-0.24757142857142878</v>
      </c>
      <c r="L63" s="287">
        <f t="shared" ref="L63:L99" si="16">L62+(($L$100-$L$30)/($B$100-$B$30))</f>
        <v>0.23171428571428587</v>
      </c>
      <c r="M63" s="287">
        <f t="shared" ref="M63:M99" si="17">M62+(($M$100-$M$30)/($B$100-$B$30))</f>
        <v>-0.17171428571428557</v>
      </c>
      <c r="N63" s="574">
        <f t="shared" ref="N63:N99" si="18">N62+(($N$100-$N$30)/($B$100-$B$30))</f>
        <v>0.16114285714285673</v>
      </c>
      <c r="O63" s="597" t="str">
        <f t="shared" si="0"/>
        <v>-</v>
      </c>
      <c r="P63" s="597" t="str">
        <f t="shared" si="1"/>
        <v>-</v>
      </c>
      <c r="Q63" s="598" t="str">
        <f t="shared" si="2"/>
        <v>-</v>
      </c>
      <c r="R63" s="599" t="str">
        <f t="shared" si="3"/>
        <v>-</v>
      </c>
      <c r="S63" s="598" t="str">
        <f t="shared" si="4"/>
        <v>-</v>
      </c>
      <c r="T63" s="600" t="str">
        <f t="shared" si="5"/>
        <v>-</v>
      </c>
      <c r="U63" s="31"/>
      <c r="V63" s="610" t="str">
        <f t="shared" si="6"/>
        <v>-</v>
      </c>
      <c r="W63" s="611" t="str">
        <f t="shared" si="7"/>
        <v>-</v>
      </c>
      <c r="X63" s="612" t="str">
        <f t="shared" si="8"/>
        <v>-</v>
      </c>
      <c r="Y63" s="613" t="str">
        <f t="shared" si="9"/>
        <v>-</v>
      </c>
      <c r="Z63" s="614" t="str">
        <f t="shared" si="10"/>
        <v>-</v>
      </c>
      <c r="AB63" s="201" t="s">
        <v>0</v>
      </c>
    </row>
    <row r="64" spans="1:28" ht="15" customHeight="1" x14ac:dyDescent="0.25">
      <c r="A64" s="5"/>
      <c r="B64" s="38">
        <v>54</v>
      </c>
      <c r="C64" s="205" t="s">
        <v>5</v>
      </c>
      <c r="D64" s="205" t="s">
        <v>5</v>
      </c>
      <c r="E64" s="205" t="s">
        <v>5</v>
      </c>
      <c r="F64" s="205" t="s">
        <v>5</v>
      </c>
      <c r="G64" s="205" t="s">
        <v>5</v>
      </c>
      <c r="H64" s="444"/>
      <c r="I64" s="582" t="s">
        <v>5</v>
      </c>
      <c r="J64" s="582" t="s">
        <v>5</v>
      </c>
      <c r="K64" s="287">
        <f t="shared" si="15"/>
        <v>-0.2462857142857145</v>
      </c>
      <c r="L64" s="287">
        <f t="shared" si="16"/>
        <v>0.23085714285714301</v>
      </c>
      <c r="M64" s="287">
        <f t="shared" si="17"/>
        <v>-0.17085714285714271</v>
      </c>
      <c r="N64" s="574">
        <f t="shared" si="18"/>
        <v>0.16057142857142814</v>
      </c>
      <c r="O64" s="597" t="str">
        <f t="shared" si="0"/>
        <v>-</v>
      </c>
      <c r="P64" s="597" t="str">
        <f t="shared" si="1"/>
        <v>-</v>
      </c>
      <c r="Q64" s="598" t="str">
        <f t="shared" si="2"/>
        <v>-</v>
      </c>
      <c r="R64" s="599" t="str">
        <f t="shared" si="3"/>
        <v>-</v>
      </c>
      <c r="S64" s="598" t="str">
        <f t="shared" si="4"/>
        <v>-</v>
      </c>
      <c r="T64" s="600" t="str">
        <f t="shared" si="5"/>
        <v>-</v>
      </c>
      <c r="U64" s="31"/>
      <c r="V64" s="610" t="str">
        <f t="shared" si="6"/>
        <v>-</v>
      </c>
      <c r="W64" s="611" t="str">
        <f t="shared" si="7"/>
        <v>-</v>
      </c>
      <c r="X64" s="612" t="str">
        <f t="shared" si="8"/>
        <v>-</v>
      </c>
      <c r="Y64" s="613" t="str">
        <f t="shared" si="9"/>
        <v>-</v>
      </c>
      <c r="Z64" s="614" t="str">
        <f t="shared" si="10"/>
        <v>-</v>
      </c>
      <c r="AB64" s="201" t="s">
        <v>0</v>
      </c>
    </row>
    <row r="65" spans="1:28" ht="15" customHeight="1" x14ac:dyDescent="0.25">
      <c r="A65" s="5"/>
      <c r="B65" s="303">
        <v>55</v>
      </c>
      <c r="C65" s="205" t="s">
        <v>5</v>
      </c>
      <c r="D65" s="205" t="s">
        <v>5</v>
      </c>
      <c r="E65" s="205" t="s">
        <v>5</v>
      </c>
      <c r="F65" s="205" t="s">
        <v>5</v>
      </c>
      <c r="G65" s="205" t="s">
        <v>5</v>
      </c>
      <c r="H65" s="444"/>
      <c r="I65" s="582" t="s">
        <v>5</v>
      </c>
      <c r="J65" s="582" t="s">
        <v>5</v>
      </c>
      <c r="K65" s="287">
        <f t="shared" si="15"/>
        <v>-0.24500000000000022</v>
      </c>
      <c r="L65" s="287">
        <f t="shared" si="16"/>
        <v>0.23000000000000015</v>
      </c>
      <c r="M65" s="287">
        <f t="shared" si="17"/>
        <v>-0.16999999999999985</v>
      </c>
      <c r="N65" s="574">
        <f t="shared" si="18"/>
        <v>0.15999999999999956</v>
      </c>
      <c r="O65" s="597" t="str">
        <f t="shared" si="0"/>
        <v>-</v>
      </c>
      <c r="P65" s="597" t="str">
        <f t="shared" si="1"/>
        <v>-</v>
      </c>
      <c r="Q65" s="598" t="str">
        <f t="shared" si="2"/>
        <v>-</v>
      </c>
      <c r="R65" s="599" t="str">
        <f t="shared" si="3"/>
        <v>-</v>
      </c>
      <c r="S65" s="598" t="str">
        <f t="shared" si="4"/>
        <v>-</v>
      </c>
      <c r="T65" s="600" t="str">
        <f t="shared" si="5"/>
        <v>-</v>
      </c>
      <c r="U65" s="31"/>
      <c r="V65" s="610" t="str">
        <f t="shared" si="6"/>
        <v>-</v>
      </c>
      <c r="W65" s="611" t="str">
        <f t="shared" si="7"/>
        <v>-</v>
      </c>
      <c r="X65" s="612" t="str">
        <f t="shared" si="8"/>
        <v>-</v>
      </c>
      <c r="Y65" s="613" t="str">
        <f t="shared" si="9"/>
        <v>-</v>
      </c>
      <c r="Z65" s="614" t="str">
        <f t="shared" si="10"/>
        <v>-</v>
      </c>
      <c r="AB65" s="201" t="s">
        <v>0</v>
      </c>
    </row>
    <row r="66" spans="1:28" ht="15" customHeight="1" x14ac:dyDescent="0.25">
      <c r="A66" s="5"/>
      <c r="B66" s="38">
        <v>56</v>
      </c>
      <c r="C66" s="205" t="s">
        <v>5</v>
      </c>
      <c r="D66" s="205" t="s">
        <v>5</v>
      </c>
      <c r="E66" s="205" t="s">
        <v>5</v>
      </c>
      <c r="F66" s="205" t="s">
        <v>5</v>
      </c>
      <c r="G66" s="205" t="s">
        <v>5</v>
      </c>
      <c r="H66" s="444"/>
      <c r="I66" s="582" t="s">
        <v>5</v>
      </c>
      <c r="J66" s="582" t="s">
        <v>5</v>
      </c>
      <c r="K66" s="287">
        <f t="shared" si="15"/>
        <v>-0.24371428571428594</v>
      </c>
      <c r="L66" s="287">
        <f t="shared" si="16"/>
        <v>0.22914285714285729</v>
      </c>
      <c r="M66" s="287">
        <f t="shared" si="17"/>
        <v>-0.16914285714285698</v>
      </c>
      <c r="N66" s="574">
        <f t="shared" si="18"/>
        <v>0.15942857142857098</v>
      </c>
      <c r="O66" s="597" t="str">
        <f t="shared" si="0"/>
        <v>-</v>
      </c>
      <c r="P66" s="597" t="str">
        <f t="shared" si="1"/>
        <v>-</v>
      </c>
      <c r="Q66" s="598" t="str">
        <f t="shared" si="2"/>
        <v>-</v>
      </c>
      <c r="R66" s="599" t="str">
        <f t="shared" si="3"/>
        <v>-</v>
      </c>
      <c r="S66" s="598" t="str">
        <f t="shared" si="4"/>
        <v>-</v>
      </c>
      <c r="T66" s="600" t="str">
        <f t="shared" si="5"/>
        <v>-</v>
      </c>
      <c r="U66" s="31"/>
      <c r="V66" s="610" t="str">
        <f t="shared" si="6"/>
        <v>-</v>
      </c>
      <c r="W66" s="611" t="str">
        <f t="shared" si="7"/>
        <v>-</v>
      </c>
      <c r="X66" s="612" t="str">
        <f t="shared" si="8"/>
        <v>-</v>
      </c>
      <c r="Y66" s="613" t="str">
        <f t="shared" si="9"/>
        <v>-</v>
      </c>
      <c r="Z66" s="614" t="str">
        <f t="shared" si="10"/>
        <v>-</v>
      </c>
      <c r="AB66" s="201" t="s">
        <v>0</v>
      </c>
    </row>
    <row r="67" spans="1:28" ht="15" customHeight="1" x14ac:dyDescent="0.25">
      <c r="A67" s="5"/>
      <c r="B67" s="303">
        <v>57</v>
      </c>
      <c r="C67" s="205" t="s">
        <v>5</v>
      </c>
      <c r="D67" s="205" t="s">
        <v>5</v>
      </c>
      <c r="E67" s="205" t="s">
        <v>5</v>
      </c>
      <c r="F67" s="205" t="s">
        <v>5</v>
      </c>
      <c r="G67" s="205" t="s">
        <v>5</v>
      </c>
      <c r="H67" s="444"/>
      <c r="I67" s="582" t="s">
        <v>5</v>
      </c>
      <c r="J67" s="582" t="s">
        <v>5</v>
      </c>
      <c r="K67" s="287">
        <f t="shared" si="15"/>
        <v>-0.24242857142857166</v>
      </c>
      <c r="L67" s="287">
        <f t="shared" si="16"/>
        <v>0.22828571428571443</v>
      </c>
      <c r="M67" s="287">
        <f t="shared" si="17"/>
        <v>-0.16828571428571412</v>
      </c>
      <c r="N67" s="574">
        <f t="shared" si="18"/>
        <v>0.15885714285714239</v>
      </c>
      <c r="O67" s="597" t="str">
        <f t="shared" si="0"/>
        <v>-</v>
      </c>
      <c r="P67" s="597" t="str">
        <f t="shared" si="1"/>
        <v>-</v>
      </c>
      <c r="Q67" s="598" t="str">
        <f t="shared" si="2"/>
        <v>-</v>
      </c>
      <c r="R67" s="599" t="str">
        <f t="shared" si="3"/>
        <v>-</v>
      </c>
      <c r="S67" s="598" t="str">
        <f t="shared" si="4"/>
        <v>-</v>
      </c>
      <c r="T67" s="600" t="str">
        <f t="shared" si="5"/>
        <v>-</v>
      </c>
      <c r="U67" s="31"/>
      <c r="V67" s="610" t="str">
        <f t="shared" si="6"/>
        <v>-</v>
      </c>
      <c r="W67" s="611" t="str">
        <f t="shared" si="7"/>
        <v>-</v>
      </c>
      <c r="X67" s="612" t="str">
        <f t="shared" si="8"/>
        <v>-</v>
      </c>
      <c r="Y67" s="613" t="str">
        <f t="shared" si="9"/>
        <v>-</v>
      </c>
      <c r="Z67" s="614" t="str">
        <f t="shared" si="10"/>
        <v>-</v>
      </c>
      <c r="AB67" s="201" t="s">
        <v>0</v>
      </c>
    </row>
    <row r="68" spans="1:28" ht="15" customHeight="1" x14ac:dyDescent="0.25">
      <c r="A68" s="5"/>
      <c r="B68" s="38">
        <v>58</v>
      </c>
      <c r="C68" s="205" t="s">
        <v>5</v>
      </c>
      <c r="D68" s="205" t="s">
        <v>5</v>
      </c>
      <c r="E68" s="205" t="s">
        <v>5</v>
      </c>
      <c r="F68" s="205" t="s">
        <v>5</v>
      </c>
      <c r="G68" s="205" t="s">
        <v>5</v>
      </c>
      <c r="H68" s="444"/>
      <c r="I68" s="582" t="s">
        <v>5</v>
      </c>
      <c r="J68" s="582" t="s">
        <v>5</v>
      </c>
      <c r="K68" s="287">
        <f t="shared" si="15"/>
        <v>-0.24114285714285738</v>
      </c>
      <c r="L68" s="287">
        <f t="shared" si="16"/>
        <v>0.22742857142857156</v>
      </c>
      <c r="M68" s="287">
        <f t="shared" si="17"/>
        <v>-0.16742857142857126</v>
      </c>
      <c r="N68" s="574">
        <f t="shared" si="18"/>
        <v>0.15828571428571381</v>
      </c>
      <c r="O68" s="597" t="str">
        <f t="shared" si="0"/>
        <v>-</v>
      </c>
      <c r="P68" s="597" t="str">
        <f t="shared" si="1"/>
        <v>-</v>
      </c>
      <c r="Q68" s="598" t="str">
        <f t="shared" si="2"/>
        <v>-</v>
      </c>
      <c r="R68" s="599" t="str">
        <f t="shared" si="3"/>
        <v>-</v>
      </c>
      <c r="S68" s="598" t="str">
        <f t="shared" si="4"/>
        <v>-</v>
      </c>
      <c r="T68" s="600" t="str">
        <f t="shared" si="5"/>
        <v>-</v>
      </c>
      <c r="U68" s="31"/>
      <c r="V68" s="610" t="str">
        <f t="shared" si="6"/>
        <v>-</v>
      </c>
      <c r="W68" s="611" t="str">
        <f t="shared" si="7"/>
        <v>-</v>
      </c>
      <c r="X68" s="612" t="str">
        <f t="shared" si="8"/>
        <v>-</v>
      </c>
      <c r="Y68" s="613" t="str">
        <f t="shared" si="9"/>
        <v>-</v>
      </c>
      <c r="Z68" s="614" t="str">
        <f t="shared" si="10"/>
        <v>-</v>
      </c>
      <c r="AB68" s="201" t="s">
        <v>0</v>
      </c>
    </row>
    <row r="69" spans="1:28" ht="15" customHeight="1" x14ac:dyDescent="0.25">
      <c r="A69" s="5"/>
      <c r="B69" s="303">
        <v>59</v>
      </c>
      <c r="C69" s="205" t="s">
        <v>5</v>
      </c>
      <c r="D69" s="205" t="s">
        <v>5</v>
      </c>
      <c r="E69" s="205" t="s">
        <v>5</v>
      </c>
      <c r="F69" s="205" t="s">
        <v>5</v>
      </c>
      <c r="G69" s="205" t="s">
        <v>5</v>
      </c>
      <c r="H69" s="444"/>
      <c r="I69" s="582" t="s">
        <v>5</v>
      </c>
      <c r="J69" s="582" t="s">
        <v>5</v>
      </c>
      <c r="K69" s="287">
        <f t="shared" si="15"/>
        <v>-0.2398571428571431</v>
      </c>
      <c r="L69" s="287">
        <f t="shared" si="16"/>
        <v>0.2265714285714287</v>
      </c>
      <c r="M69" s="287">
        <f t="shared" si="17"/>
        <v>-0.1665714285714284</v>
      </c>
      <c r="N69" s="574">
        <f t="shared" si="18"/>
        <v>0.15771428571428522</v>
      </c>
      <c r="O69" s="597" t="str">
        <f t="shared" si="0"/>
        <v>-</v>
      </c>
      <c r="P69" s="597" t="str">
        <f t="shared" si="1"/>
        <v>-</v>
      </c>
      <c r="Q69" s="598" t="str">
        <f t="shared" si="2"/>
        <v>-</v>
      </c>
      <c r="R69" s="599" t="str">
        <f t="shared" si="3"/>
        <v>-</v>
      </c>
      <c r="S69" s="598" t="str">
        <f t="shared" si="4"/>
        <v>-</v>
      </c>
      <c r="T69" s="600" t="str">
        <f t="shared" si="5"/>
        <v>-</v>
      </c>
      <c r="U69" s="31"/>
      <c r="V69" s="610" t="str">
        <f t="shared" si="6"/>
        <v>-</v>
      </c>
      <c r="W69" s="611" t="str">
        <f t="shared" si="7"/>
        <v>-</v>
      </c>
      <c r="X69" s="612" t="str">
        <f t="shared" si="8"/>
        <v>-</v>
      </c>
      <c r="Y69" s="613" t="str">
        <f t="shared" si="9"/>
        <v>-</v>
      </c>
      <c r="Z69" s="614" t="str">
        <f t="shared" si="10"/>
        <v>-</v>
      </c>
      <c r="AB69" s="201" t="s">
        <v>0</v>
      </c>
    </row>
    <row r="70" spans="1:28" ht="15" customHeight="1" x14ac:dyDescent="0.25">
      <c r="A70" s="5"/>
      <c r="B70" s="38">
        <v>60</v>
      </c>
      <c r="C70" s="205" t="s">
        <v>5</v>
      </c>
      <c r="D70" s="205" t="s">
        <v>5</v>
      </c>
      <c r="E70" s="205" t="s">
        <v>5</v>
      </c>
      <c r="F70" s="205" t="s">
        <v>5</v>
      </c>
      <c r="G70" s="205" t="s">
        <v>5</v>
      </c>
      <c r="H70" s="444"/>
      <c r="I70" s="582" t="s">
        <v>5</v>
      </c>
      <c r="J70" s="582" t="s">
        <v>5</v>
      </c>
      <c r="K70" s="287">
        <f t="shared" si="15"/>
        <v>-0.23857142857142882</v>
      </c>
      <c r="L70" s="287">
        <f t="shared" si="16"/>
        <v>0.22571428571428584</v>
      </c>
      <c r="M70" s="287">
        <f t="shared" si="17"/>
        <v>-0.16571428571428554</v>
      </c>
      <c r="N70" s="574">
        <f t="shared" si="18"/>
        <v>0.15714285714285664</v>
      </c>
      <c r="O70" s="597" t="str">
        <f t="shared" si="0"/>
        <v>-</v>
      </c>
      <c r="P70" s="597" t="str">
        <f t="shared" si="1"/>
        <v>-</v>
      </c>
      <c r="Q70" s="598" t="str">
        <f t="shared" si="2"/>
        <v>-</v>
      </c>
      <c r="R70" s="599" t="str">
        <f t="shared" si="3"/>
        <v>-</v>
      </c>
      <c r="S70" s="598" t="str">
        <f t="shared" si="4"/>
        <v>-</v>
      </c>
      <c r="T70" s="600" t="str">
        <f t="shared" si="5"/>
        <v>-</v>
      </c>
      <c r="U70" s="31"/>
      <c r="V70" s="610" t="str">
        <f t="shared" si="6"/>
        <v>-</v>
      </c>
      <c r="W70" s="611" t="str">
        <f t="shared" si="7"/>
        <v>-</v>
      </c>
      <c r="X70" s="612" t="str">
        <f t="shared" si="8"/>
        <v>-</v>
      </c>
      <c r="Y70" s="613" t="str">
        <f t="shared" si="9"/>
        <v>-</v>
      </c>
      <c r="Z70" s="614" t="str">
        <f t="shared" si="10"/>
        <v>-</v>
      </c>
      <c r="AB70" s="201" t="s">
        <v>0</v>
      </c>
    </row>
    <row r="71" spans="1:28" ht="15" customHeight="1" x14ac:dyDescent="0.25">
      <c r="A71" s="5"/>
      <c r="B71" s="303">
        <v>61</v>
      </c>
      <c r="C71" s="205" t="s">
        <v>5</v>
      </c>
      <c r="D71" s="205" t="s">
        <v>5</v>
      </c>
      <c r="E71" s="205" t="s">
        <v>5</v>
      </c>
      <c r="F71" s="205" t="s">
        <v>5</v>
      </c>
      <c r="G71" s="205" t="s">
        <v>5</v>
      </c>
      <c r="H71" s="444"/>
      <c r="I71" s="582" t="s">
        <v>5</v>
      </c>
      <c r="J71" s="582" t="s">
        <v>5</v>
      </c>
      <c r="K71" s="287">
        <f t="shared" si="15"/>
        <v>-0.23728571428571454</v>
      </c>
      <c r="L71" s="287">
        <f t="shared" si="16"/>
        <v>0.22485714285714298</v>
      </c>
      <c r="M71" s="287">
        <f t="shared" si="17"/>
        <v>-0.16485714285714267</v>
      </c>
      <c r="N71" s="574">
        <f t="shared" si="18"/>
        <v>0.15657142857142806</v>
      </c>
      <c r="O71" s="597" t="str">
        <f t="shared" si="0"/>
        <v>-</v>
      </c>
      <c r="P71" s="597" t="str">
        <f t="shared" si="1"/>
        <v>-</v>
      </c>
      <c r="Q71" s="598" t="str">
        <f t="shared" si="2"/>
        <v>-</v>
      </c>
      <c r="R71" s="599" t="str">
        <f t="shared" si="3"/>
        <v>-</v>
      </c>
      <c r="S71" s="598" t="str">
        <f t="shared" si="4"/>
        <v>-</v>
      </c>
      <c r="T71" s="600" t="str">
        <f t="shared" si="5"/>
        <v>-</v>
      </c>
      <c r="U71" s="31"/>
      <c r="V71" s="610" t="str">
        <f t="shared" si="6"/>
        <v>-</v>
      </c>
      <c r="W71" s="611" t="str">
        <f t="shared" si="7"/>
        <v>-</v>
      </c>
      <c r="X71" s="612" t="str">
        <f t="shared" si="8"/>
        <v>-</v>
      </c>
      <c r="Y71" s="613" t="str">
        <f t="shared" si="9"/>
        <v>-</v>
      </c>
      <c r="Z71" s="614" t="str">
        <f t="shared" si="10"/>
        <v>-</v>
      </c>
      <c r="AB71" s="201" t="s">
        <v>0</v>
      </c>
    </row>
    <row r="72" spans="1:28" ht="15" customHeight="1" x14ac:dyDescent="0.25">
      <c r="A72" s="5"/>
      <c r="B72" s="38">
        <v>62</v>
      </c>
      <c r="C72" s="205" t="s">
        <v>5</v>
      </c>
      <c r="D72" s="205" t="s">
        <v>5</v>
      </c>
      <c r="E72" s="205" t="s">
        <v>5</v>
      </c>
      <c r="F72" s="205" t="s">
        <v>5</v>
      </c>
      <c r="G72" s="205" t="s">
        <v>5</v>
      </c>
      <c r="H72" s="444"/>
      <c r="I72" s="582" t="s">
        <v>5</v>
      </c>
      <c r="J72" s="582" t="s">
        <v>5</v>
      </c>
      <c r="K72" s="287">
        <f t="shared" si="15"/>
        <v>-0.23600000000000027</v>
      </c>
      <c r="L72" s="287">
        <f t="shared" si="16"/>
        <v>0.22400000000000012</v>
      </c>
      <c r="M72" s="287">
        <f t="shared" si="17"/>
        <v>-0.16399999999999981</v>
      </c>
      <c r="N72" s="574">
        <f t="shared" si="18"/>
        <v>0.15599999999999947</v>
      </c>
      <c r="O72" s="597" t="str">
        <f t="shared" si="0"/>
        <v>-</v>
      </c>
      <c r="P72" s="597" t="str">
        <f t="shared" si="1"/>
        <v>-</v>
      </c>
      <c r="Q72" s="598" t="str">
        <f t="shared" si="2"/>
        <v>-</v>
      </c>
      <c r="R72" s="599" t="str">
        <f t="shared" si="3"/>
        <v>-</v>
      </c>
      <c r="S72" s="598" t="str">
        <f t="shared" si="4"/>
        <v>-</v>
      </c>
      <c r="T72" s="600" t="str">
        <f t="shared" si="5"/>
        <v>-</v>
      </c>
      <c r="U72" s="31"/>
      <c r="V72" s="610" t="str">
        <f t="shared" si="6"/>
        <v>-</v>
      </c>
      <c r="W72" s="611" t="str">
        <f t="shared" si="7"/>
        <v>-</v>
      </c>
      <c r="X72" s="612" t="str">
        <f t="shared" si="8"/>
        <v>-</v>
      </c>
      <c r="Y72" s="613" t="str">
        <f t="shared" si="9"/>
        <v>-</v>
      </c>
      <c r="Z72" s="614" t="str">
        <f t="shared" si="10"/>
        <v>-</v>
      </c>
      <c r="AB72" s="201" t="s">
        <v>0</v>
      </c>
    </row>
    <row r="73" spans="1:28" ht="15" customHeight="1" x14ac:dyDescent="0.25">
      <c r="A73" s="5"/>
      <c r="B73" s="303">
        <v>63</v>
      </c>
      <c r="C73" s="205" t="s">
        <v>5</v>
      </c>
      <c r="D73" s="205" t="s">
        <v>5</v>
      </c>
      <c r="E73" s="205" t="s">
        <v>5</v>
      </c>
      <c r="F73" s="205" t="s">
        <v>5</v>
      </c>
      <c r="G73" s="205" t="s">
        <v>5</v>
      </c>
      <c r="H73" s="444"/>
      <c r="I73" s="582" t="s">
        <v>5</v>
      </c>
      <c r="J73" s="582" t="s">
        <v>5</v>
      </c>
      <c r="K73" s="287">
        <f t="shared" si="15"/>
        <v>-0.23471428571428599</v>
      </c>
      <c r="L73" s="287">
        <f t="shared" si="16"/>
        <v>0.22314285714285725</v>
      </c>
      <c r="M73" s="287">
        <f t="shared" si="17"/>
        <v>-0.16314285714285695</v>
      </c>
      <c r="N73" s="574">
        <f t="shared" si="18"/>
        <v>0.15542857142857089</v>
      </c>
      <c r="O73" s="597" t="str">
        <f t="shared" si="0"/>
        <v>-</v>
      </c>
      <c r="P73" s="597" t="str">
        <f t="shared" si="1"/>
        <v>-</v>
      </c>
      <c r="Q73" s="598" t="str">
        <f t="shared" si="2"/>
        <v>-</v>
      </c>
      <c r="R73" s="599" t="str">
        <f t="shared" si="3"/>
        <v>-</v>
      </c>
      <c r="S73" s="598" t="str">
        <f t="shared" si="4"/>
        <v>-</v>
      </c>
      <c r="T73" s="600" t="str">
        <f t="shared" si="5"/>
        <v>-</v>
      </c>
      <c r="U73" s="31"/>
      <c r="V73" s="610" t="str">
        <f t="shared" si="6"/>
        <v>-</v>
      </c>
      <c r="W73" s="611" t="str">
        <f t="shared" si="7"/>
        <v>-</v>
      </c>
      <c r="X73" s="612" t="str">
        <f t="shared" si="8"/>
        <v>-</v>
      </c>
      <c r="Y73" s="613" t="str">
        <f t="shared" si="9"/>
        <v>-</v>
      </c>
      <c r="Z73" s="614" t="str">
        <f t="shared" si="10"/>
        <v>-</v>
      </c>
      <c r="AB73" s="201" t="s">
        <v>0</v>
      </c>
    </row>
    <row r="74" spans="1:28" ht="15" customHeight="1" x14ac:dyDescent="0.25">
      <c r="A74" s="5"/>
      <c r="B74" s="38">
        <v>64</v>
      </c>
      <c r="C74" s="205" t="s">
        <v>5</v>
      </c>
      <c r="D74" s="205" t="s">
        <v>5</v>
      </c>
      <c r="E74" s="205" t="s">
        <v>5</v>
      </c>
      <c r="F74" s="205" t="s">
        <v>5</v>
      </c>
      <c r="G74" s="205" t="s">
        <v>5</v>
      </c>
      <c r="H74" s="444"/>
      <c r="I74" s="582" t="s">
        <v>5</v>
      </c>
      <c r="J74" s="582" t="s">
        <v>5</v>
      </c>
      <c r="K74" s="287">
        <f t="shared" si="15"/>
        <v>-0.23342857142857171</v>
      </c>
      <c r="L74" s="287">
        <f t="shared" si="16"/>
        <v>0.22228571428571439</v>
      </c>
      <c r="M74" s="287">
        <f t="shared" si="17"/>
        <v>-0.16228571428571409</v>
      </c>
      <c r="N74" s="574">
        <f t="shared" si="18"/>
        <v>0.1548571428571423</v>
      </c>
      <c r="O74" s="597" t="str">
        <f t="shared" si="0"/>
        <v>-</v>
      </c>
      <c r="P74" s="597" t="str">
        <f t="shared" si="1"/>
        <v>-</v>
      </c>
      <c r="Q74" s="598" t="str">
        <f t="shared" si="2"/>
        <v>-</v>
      </c>
      <c r="R74" s="599" t="str">
        <f t="shared" si="3"/>
        <v>-</v>
      </c>
      <c r="S74" s="598" t="str">
        <f t="shared" si="4"/>
        <v>-</v>
      </c>
      <c r="T74" s="600" t="str">
        <f t="shared" si="5"/>
        <v>-</v>
      </c>
      <c r="U74" s="31"/>
      <c r="V74" s="610" t="str">
        <f t="shared" si="6"/>
        <v>-</v>
      </c>
      <c r="W74" s="611" t="str">
        <f t="shared" si="7"/>
        <v>-</v>
      </c>
      <c r="X74" s="612" t="str">
        <f t="shared" si="8"/>
        <v>-</v>
      </c>
      <c r="Y74" s="613" t="str">
        <f t="shared" si="9"/>
        <v>-</v>
      </c>
      <c r="Z74" s="614" t="str">
        <f t="shared" si="10"/>
        <v>-</v>
      </c>
      <c r="AB74" s="201" t="s">
        <v>0</v>
      </c>
    </row>
    <row r="75" spans="1:28" ht="15" customHeight="1" x14ac:dyDescent="0.25">
      <c r="A75" s="5"/>
      <c r="B75" s="303">
        <v>65</v>
      </c>
      <c r="C75" s="205" t="s">
        <v>5</v>
      </c>
      <c r="D75" s="205" t="s">
        <v>5</v>
      </c>
      <c r="E75" s="205" t="s">
        <v>5</v>
      </c>
      <c r="F75" s="205" t="s">
        <v>5</v>
      </c>
      <c r="G75" s="205" t="s">
        <v>5</v>
      </c>
      <c r="H75" s="444"/>
      <c r="I75" s="582" t="s">
        <v>5</v>
      </c>
      <c r="J75" s="582" t="s">
        <v>5</v>
      </c>
      <c r="K75" s="287">
        <f t="shared" si="15"/>
        <v>-0.23214285714285743</v>
      </c>
      <c r="L75" s="287">
        <f t="shared" si="16"/>
        <v>0.22142857142857153</v>
      </c>
      <c r="M75" s="287">
        <f t="shared" si="17"/>
        <v>-0.16142857142857123</v>
      </c>
      <c r="N75" s="574">
        <f t="shared" si="18"/>
        <v>0.15428571428571372</v>
      </c>
      <c r="O75" s="597" t="str">
        <f t="shared" si="0"/>
        <v>-</v>
      </c>
      <c r="P75" s="597" t="str">
        <f t="shared" si="1"/>
        <v>-</v>
      </c>
      <c r="Q75" s="598" t="str">
        <f t="shared" si="2"/>
        <v>-</v>
      </c>
      <c r="R75" s="599" t="str">
        <f t="shared" si="3"/>
        <v>-</v>
      </c>
      <c r="S75" s="598" t="str">
        <f t="shared" si="4"/>
        <v>-</v>
      </c>
      <c r="T75" s="600" t="str">
        <f t="shared" si="5"/>
        <v>-</v>
      </c>
      <c r="U75" s="31"/>
      <c r="V75" s="610" t="str">
        <f t="shared" si="6"/>
        <v>-</v>
      </c>
      <c r="W75" s="611" t="str">
        <f t="shared" si="7"/>
        <v>-</v>
      </c>
      <c r="X75" s="612" t="str">
        <f t="shared" si="8"/>
        <v>-</v>
      </c>
      <c r="Y75" s="613" t="str">
        <f t="shared" si="9"/>
        <v>-</v>
      </c>
      <c r="Z75" s="614" t="str">
        <f t="shared" si="10"/>
        <v>-</v>
      </c>
      <c r="AB75" s="201" t="s">
        <v>0</v>
      </c>
    </row>
    <row r="76" spans="1:28" ht="15" customHeight="1" x14ac:dyDescent="0.25">
      <c r="A76" s="5"/>
      <c r="B76" s="38">
        <v>66</v>
      </c>
      <c r="C76" s="205" t="s">
        <v>5</v>
      </c>
      <c r="D76" s="205" t="s">
        <v>5</v>
      </c>
      <c r="E76" s="205" t="s">
        <v>5</v>
      </c>
      <c r="F76" s="205" t="s">
        <v>5</v>
      </c>
      <c r="G76" s="205" t="s">
        <v>5</v>
      </c>
      <c r="H76" s="444"/>
      <c r="I76" s="582" t="s">
        <v>5</v>
      </c>
      <c r="J76" s="582" t="s">
        <v>5</v>
      </c>
      <c r="K76" s="287">
        <f t="shared" si="15"/>
        <v>-0.23085714285714315</v>
      </c>
      <c r="L76" s="287">
        <f t="shared" si="16"/>
        <v>0.22057142857142867</v>
      </c>
      <c r="M76" s="287">
        <f t="shared" si="17"/>
        <v>-0.16057142857142837</v>
      </c>
      <c r="N76" s="574">
        <f t="shared" si="18"/>
        <v>0.15371428571428514</v>
      </c>
      <c r="O76" s="597" t="str">
        <f t="shared" ref="O76:O139" si="19">IF(ISNUMBER(I76),IF(I76&lt;0,I76,I76*(1+K76)),"-")</f>
        <v>-</v>
      </c>
      <c r="P76" s="597" t="str">
        <f t="shared" ref="P76:P139" si="20">IF(ISNUMBER(I76),I76+MAX(0.01,L76*ABS(I76)),"-")</f>
        <v>-</v>
      </c>
      <c r="Q76" s="598" t="str">
        <f t="shared" ref="Q76:Q139" si="21">IF(ISNUMBER(I76),IF(I76&lt;0,I76,I76*(1+M76)),"-")</f>
        <v>-</v>
      </c>
      <c r="R76" s="599" t="str">
        <f t="shared" ref="R76:R139" si="22">IF(ISNUMBER(I76),I76+MAX(0.007,N76*ABS(I76)),"-")</f>
        <v>-</v>
      </c>
      <c r="S76" s="598" t="str">
        <f t="shared" ref="S76:S139" si="23">IF(ISNUMBER(I76),J76+(Q76-I76),"-")</f>
        <v>-</v>
      </c>
      <c r="T76" s="600" t="str">
        <f t="shared" ref="T76:T139" si="24">IF(ISNUMBER(I76),J76+(R76-I76),"-")</f>
        <v>-</v>
      </c>
      <c r="U76" s="31"/>
      <c r="V76" s="610" t="str">
        <f t="shared" ref="V76:V139" si="25">IF(ISNUMBER(I76),(1+I76)^(-$B76),"-")</f>
        <v>-</v>
      </c>
      <c r="W76" s="611" t="str">
        <f t="shared" ref="W76:W139" si="26">IF(ISNUMBER(O76),(1+O76)^(-$B76),"-")</f>
        <v>-</v>
      </c>
      <c r="X76" s="612" t="str">
        <f t="shared" ref="X76:X139" si="27">IF(ISNUMBER(P76),(1+P76)^(-$B76),"-")</f>
        <v>-</v>
      </c>
      <c r="Y76" s="613" t="str">
        <f t="shared" ref="Y76:Y139" si="28">IF(ISNUMBER(Q76),(1+Q76)^(-$B76),"-")</f>
        <v>-</v>
      </c>
      <c r="Z76" s="614" t="str">
        <f t="shared" ref="Z76:Z139" si="29">IF(ISNUMBER(R76),(1+R76)^(-$B76),"-")</f>
        <v>-</v>
      </c>
      <c r="AB76" s="201" t="s">
        <v>0</v>
      </c>
    </row>
    <row r="77" spans="1:28" ht="15" customHeight="1" x14ac:dyDescent="0.25">
      <c r="A77" s="5"/>
      <c r="B77" s="303">
        <v>67</v>
      </c>
      <c r="C77" s="205" t="s">
        <v>5</v>
      </c>
      <c r="D77" s="205" t="s">
        <v>5</v>
      </c>
      <c r="E77" s="205" t="s">
        <v>5</v>
      </c>
      <c r="F77" s="205" t="s">
        <v>5</v>
      </c>
      <c r="G77" s="205" t="s">
        <v>5</v>
      </c>
      <c r="H77" s="444"/>
      <c r="I77" s="582" t="s">
        <v>5</v>
      </c>
      <c r="J77" s="582" t="s">
        <v>5</v>
      </c>
      <c r="K77" s="287">
        <f t="shared" si="15"/>
        <v>-0.22957142857142887</v>
      </c>
      <c r="L77" s="287">
        <f t="shared" si="16"/>
        <v>0.21971428571428581</v>
      </c>
      <c r="M77" s="287">
        <f t="shared" si="17"/>
        <v>-0.1597142857142855</v>
      </c>
      <c r="N77" s="574">
        <f t="shared" si="18"/>
        <v>0.15314285714285655</v>
      </c>
      <c r="O77" s="597" t="str">
        <f t="shared" si="19"/>
        <v>-</v>
      </c>
      <c r="P77" s="597" t="str">
        <f t="shared" si="20"/>
        <v>-</v>
      </c>
      <c r="Q77" s="598" t="str">
        <f t="shared" si="21"/>
        <v>-</v>
      </c>
      <c r="R77" s="599" t="str">
        <f t="shared" si="22"/>
        <v>-</v>
      </c>
      <c r="S77" s="598" t="str">
        <f t="shared" si="23"/>
        <v>-</v>
      </c>
      <c r="T77" s="600" t="str">
        <f t="shared" si="24"/>
        <v>-</v>
      </c>
      <c r="U77" s="31"/>
      <c r="V77" s="610" t="str">
        <f t="shared" si="25"/>
        <v>-</v>
      </c>
      <c r="W77" s="611" t="str">
        <f t="shared" si="26"/>
        <v>-</v>
      </c>
      <c r="X77" s="612" t="str">
        <f t="shared" si="27"/>
        <v>-</v>
      </c>
      <c r="Y77" s="613" t="str">
        <f t="shared" si="28"/>
        <v>-</v>
      </c>
      <c r="Z77" s="614" t="str">
        <f t="shared" si="29"/>
        <v>-</v>
      </c>
      <c r="AB77" s="201" t="s">
        <v>0</v>
      </c>
    </row>
    <row r="78" spans="1:28" ht="15" customHeight="1" x14ac:dyDescent="0.25">
      <c r="A78" s="5"/>
      <c r="B78" s="38">
        <v>68</v>
      </c>
      <c r="C78" s="205" t="s">
        <v>5</v>
      </c>
      <c r="D78" s="205" t="s">
        <v>5</v>
      </c>
      <c r="E78" s="205" t="s">
        <v>5</v>
      </c>
      <c r="F78" s="205" t="s">
        <v>5</v>
      </c>
      <c r="G78" s="205" t="s">
        <v>5</v>
      </c>
      <c r="H78" s="444"/>
      <c r="I78" s="582" t="s">
        <v>5</v>
      </c>
      <c r="J78" s="582" t="s">
        <v>5</v>
      </c>
      <c r="K78" s="287">
        <f t="shared" si="15"/>
        <v>-0.22828571428571459</v>
      </c>
      <c r="L78" s="287">
        <f t="shared" si="16"/>
        <v>0.21885714285714294</v>
      </c>
      <c r="M78" s="287">
        <f t="shared" si="17"/>
        <v>-0.15885714285714264</v>
      </c>
      <c r="N78" s="574">
        <f t="shared" si="18"/>
        <v>0.15257142857142797</v>
      </c>
      <c r="O78" s="597" t="str">
        <f t="shared" si="19"/>
        <v>-</v>
      </c>
      <c r="P78" s="597" t="str">
        <f t="shared" si="20"/>
        <v>-</v>
      </c>
      <c r="Q78" s="598" t="str">
        <f t="shared" si="21"/>
        <v>-</v>
      </c>
      <c r="R78" s="599" t="str">
        <f t="shared" si="22"/>
        <v>-</v>
      </c>
      <c r="S78" s="598" t="str">
        <f t="shared" si="23"/>
        <v>-</v>
      </c>
      <c r="T78" s="600" t="str">
        <f t="shared" si="24"/>
        <v>-</v>
      </c>
      <c r="U78" s="31"/>
      <c r="V78" s="610" t="str">
        <f t="shared" si="25"/>
        <v>-</v>
      </c>
      <c r="W78" s="611" t="str">
        <f t="shared" si="26"/>
        <v>-</v>
      </c>
      <c r="X78" s="612" t="str">
        <f t="shared" si="27"/>
        <v>-</v>
      </c>
      <c r="Y78" s="613" t="str">
        <f t="shared" si="28"/>
        <v>-</v>
      </c>
      <c r="Z78" s="614" t="str">
        <f t="shared" si="29"/>
        <v>-</v>
      </c>
      <c r="AB78" s="201" t="s">
        <v>0</v>
      </c>
    </row>
    <row r="79" spans="1:28" ht="15" customHeight="1" x14ac:dyDescent="0.25">
      <c r="A79" s="5"/>
      <c r="B79" s="303">
        <v>69</v>
      </c>
      <c r="C79" s="205" t="s">
        <v>5</v>
      </c>
      <c r="D79" s="205" t="s">
        <v>5</v>
      </c>
      <c r="E79" s="205" t="s">
        <v>5</v>
      </c>
      <c r="F79" s="205" t="s">
        <v>5</v>
      </c>
      <c r="G79" s="205" t="s">
        <v>5</v>
      </c>
      <c r="H79" s="444"/>
      <c r="I79" s="582" t="s">
        <v>5</v>
      </c>
      <c r="J79" s="582" t="s">
        <v>5</v>
      </c>
      <c r="K79" s="287">
        <f t="shared" si="15"/>
        <v>-0.22700000000000031</v>
      </c>
      <c r="L79" s="287">
        <f t="shared" si="16"/>
        <v>0.21800000000000008</v>
      </c>
      <c r="M79" s="287">
        <f t="shared" si="17"/>
        <v>-0.15799999999999978</v>
      </c>
      <c r="N79" s="574">
        <f t="shared" si="18"/>
        <v>0.15199999999999939</v>
      </c>
      <c r="O79" s="597" t="str">
        <f t="shared" si="19"/>
        <v>-</v>
      </c>
      <c r="P79" s="597" t="str">
        <f t="shared" si="20"/>
        <v>-</v>
      </c>
      <c r="Q79" s="598" t="str">
        <f t="shared" si="21"/>
        <v>-</v>
      </c>
      <c r="R79" s="599" t="str">
        <f t="shared" si="22"/>
        <v>-</v>
      </c>
      <c r="S79" s="598" t="str">
        <f t="shared" si="23"/>
        <v>-</v>
      </c>
      <c r="T79" s="600" t="str">
        <f t="shared" si="24"/>
        <v>-</v>
      </c>
      <c r="U79" s="31"/>
      <c r="V79" s="610" t="str">
        <f t="shared" si="25"/>
        <v>-</v>
      </c>
      <c r="W79" s="611" t="str">
        <f t="shared" si="26"/>
        <v>-</v>
      </c>
      <c r="X79" s="612" t="str">
        <f t="shared" si="27"/>
        <v>-</v>
      </c>
      <c r="Y79" s="613" t="str">
        <f t="shared" si="28"/>
        <v>-</v>
      </c>
      <c r="Z79" s="614" t="str">
        <f t="shared" si="29"/>
        <v>-</v>
      </c>
      <c r="AB79" s="201" t="s">
        <v>0</v>
      </c>
    </row>
    <row r="80" spans="1:28" ht="15" customHeight="1" x14ac:dyDescent="0.25">
      <c r="A80" s="5"/>
      <c r="B80" s="38">
        <v>70</v>
      </c>
      <c r="C80" s="205" t="s">
        <v>5</v>
      </c>
      <c r="D80" s="205" t="s">
        <v>5</v>
      </c>
      <c r="E80" s="205" t="s">
        <v>5</v>
      </c>
      <c r="F80" s="205" t="s">
        <v>5</v>
      </c>
      <c r="G80" s="205" t="s">
        <v>5</v>
      </c>
      <c r="H80" s="444"/>
      <c r="I80" s="582" t="s">
        <v>5</v>
      </c>
      <c r="J80" s="582" t="s">
        <v>5</v>
      </c>
      <c r="K80" s="287">
        <f t="shared" si="15"/>
        <v>-0.22571428571428603</v>
      </c>
      <c r="L80" s="287">
        <f t="shared" si="16"/>
        <v>0.21714285714285722</v>
      </c>
      <c r="M80" s="287">
        <f t="shared" si="17"/>
        <v>-0.15714285714285692</v>
      </c>
      <c r="N80" s="574">
        <f t="shared" si="18"/>
        <v>0.1514285714285708</v>
      </c>
      <c r="O80" s="597" t="str">
        <f t="shared" si="19"/>
        <v>-</v>
      </c>
      <c r="P80" s="597" t="str">
        <f t="shared" si="20"/>
        <v>-</v>
      </c>
      <c r="Q80" s="598" t="str">
        <f t="shared" si="21"/>
        <v>-</v>
      </c>
      <c r="R80" s="599" t="str">
        <f t="shared" si="22"/>
        <v>-</v>
      </c>
      <c r="S80" s="598" t="str">
        <f t="shared" si="23"/>
        <v>-</v>
      </c>
      <c r="T80" s="600" t="str">
        <f t="shared" si="24"/>
        <v>-</v>
      </c>
      <c r="U80" s="31"/>
      <c r="V80" s="610" t="str">
        <f t="shared" si="25"/>
        <v>-</v>
      </c>
      <c r="W80" s="611" t="str">
        <f t="shared" si="26"/>
        <v>-</v>
      </c>
      <c r="X80" s="612" t="str">
        <f t="shared" si="27"/>
        <v>-</v>
      </c>
      <c r="Y80" s="613" t="str">
        <f t="shared" si="28"/>
        <v>-</v>
      </c>
      <c r="Z80" s="614" t="str">
        <f t="shared" si="29"/>
        <v>-</v>
      </c>
      <c r="AB80" s="201" t="s">
        <v>0</v>
      </c>
    </row>
    <row r="81" spans="1:28" ht="15" customHeight="1" x14ac:dyDescent="0.25">
      <c r="A81" s="5"/>
      <c r="B81" s="303">
        <v>71</v>
      </c>
      <c r="C81" s="205" t="s">
        <v>5</v>
      </c>
      <c r="D81" s="205" t="s">
        <v>5</v>
      </c>
      <c r="E81" s="205" t="s">
        <v>5</v>
      </c>
      <c r="F81" s="205" t="s">
        <v>5</v>
      </c>
      <c r="G81" s="205" t="s">
        <v>5</v>
      </c>
      <c r="H81" s="444"/>
      <c r="I81" s="582" t="s">
        <v>5</v>
      </c>
      <c r="J81" s="582" t="s">
        <v>5</v>
      </c>
      <c r="K81" s="287">
        <f t="shared" si="15"/>
        <v>-0.22442857142857175</v>
      </c>
      <c r="L81" s="287">
        <f t="shared" si="16"/>
        <v>0.21628571428571436</v>
      </c>
      <c r="M81" s="287">
        <f t="shared" si="17"/>
        <v>-0.15628571428571406</v>
      </c>
      <c r="N81" s="574">
        <f t="shared" si="18"/>
        <v>0.15085714285714222</v>
      </c>
      <c r="O81" s="597" t="str">
        <f t="shared" si="19"/>
        <v>-</v>
      </c>
      <c r="P81" s="597" t="str">
        <f t="shared" si="20"/>
        <v>-</v>
      </c>
      <c r="Q81" s="598" t="str">
        <f t="shared" si="21"/>
        <v>-</v>
      </c>
      <c r="R81" s="599" t="str">
        <f t="shared" si="22"/>
        <v>-</v>
      </c>
      <c r="S81" s="598" t="str">
        <f t="shared" si="23"/>
        <v>-</v>
      </c>
      <c r="T81" s="600" t="str">
        <f t="shared" si="24"/>
        <v>-</v>
      </c>
      <c r="U81" s="31"/>
      <c r="V81" s="610" t="str">
        <f t="shared" si="25"/>
        <v>-</v>
      </c>
      <c r="W81" s="611" t="str">
        <f t="shared" si="26"/>
        <v>-</v>
      </c>
      <c r="X81" s="612" t="str">
        <f t="shared" si="27"/>
        <v>-</v>
      </c>
      <c r="Y81" s="613" t="str">
        <f t="shared" si="28"/>
        <v>-</v>
      </c>
      <c r="Z81" s="614" t="str">
        <f t="shared" si="29"/>
        <v>-</v>
      </c>
      <c r="AB81" s="201" t="s">
        <v>0</v>
      </c>
    </row>
    <row r="82" spans="1:28" ht="15" customHeight="1" x14ac:dyDescent="0.25">
      <c r="A82" s="5"/>
      <c r="B82" s="38">
        <v>72</v>
      </c>
      <c r="C82" s="205" t="s">
        <v>5</v>
      </c>
      <c r="D82" s="205" t="s">
        <v>5</v>
      </c>
      <c r="E82" s="205" t="s">
        <v>5</v>
      </c>
      <c r="F82" s="205" t="s">
        <v>5</v>
      </c>
      <c r="G82" s="205" t="s">
        <v>5</v>
      </c>
      <c r="H82" s="444"/>
      <c r="I82" s="582" t="s">
        <v>5</v>
      </c>
      <c r="J82" s="582" t="s">
        <v>5</v>
      </c>
      <c r="K82" s="287">
        <f t="shared" si="15"/>
        <v>-0.22314285714285748</v>
      </c>
      <c r="L82" s="287">
        <f t="shared" si="16"/>
        <v>0.2154285714285715</v>
      </c>
      <c r="M82" s="287">
        <f t="shared" si="17"/>
        <v>-0.15542857142857119</v>
      </c>
      <c r="N82" s="574">
        <f t="shared" si="18"/>
        <v>0.15028571428571363</v>
      </c>
      <c r="O82" s="597" t="str">
        <f t="shared" si="19"/>
        <v>-</v>
      </c>
      <c r="P82" s="597" t="str">
        <f t="shared" si="20"/>
        <v>-</v>
      </c>
      <c r="Q82" s="598" t="str">
        <f t="shared" si="21"/>
        <v>-</v>
      </c>
      <c r="R82" s="599" t="str">
        <f t="shared" si="22"/>
        <v>-</v>
      </c>
      <c r="S82" s="598" t="str">
        <f t="shared" si="23"/>
        <v>-</v>
      </c>
      <c r="T82" s="600" t="str">
        <f t="shared" si="24"/>
        <v>-</v>
      </c>
      <c r="U82" s="31"/>
      <c r="V82" s="610" t="str">
        <f t="shared" si="25"/>
        <v>-</v>
      </c>
      <c r="W82" s="611" t="str">
        <f t="shared" si="26"/>
        <v>-</v>
      </c>
      <c r="X82" s="612" t="str">
        <f t="shared" si="27"/>
        <v>-</v>
      </c>
      <c r="Y82" s="613" t="str">
        <f t="shared" si="28"/>
        <v>-</v>
      </c>
      <c r="Z82" s="614" t="str">
        <f t="shared" si="29"/>
        <v>-</v>
      </c>
      <c r="AB82" s="201" t="s">
        <v>0</v>
      </c>
    </row>
    <row r="83" spans="1:28" ht="15" customHeight="1" x14ac:dyDescent="0.25">
      <c r="A83" s="5"/>
      <c r="B83" s="303">
        <v>73</v>
      </c>
      <c r="C83" s="205" t="s">
        <v>5</v>
      </c>
      <c r="D83" s="205" t="s">
        <v>5</v>
      </c>
      <c r="E83" s="205" t="s">
        <v>5</v>
      </c>
      <c r="F83" s="205" t="s">
        <v>5</v>
      </c>
      <c r="G83" s="205" t="s">
        <v>5</v>
      </c>
      <c r="H83" s="444"/>
      <c r="I83" s="582" t="s">
        <v>5</v>
      </c>
      <c r="J83" s="582" t="s">
        <v>5</v>
      </c>
      <c r="K83" s="287">
        <f t="shared" si="15"/>
        <v>-0.2218571428571432</v>
      </c>
      <c r="L83" s="287">
        <f t="shared" si="16"/>
        <v>0.21457142857142864</v>
      </c>
      <c r="M83" s="287">
        <f t="shared" si="17"/>
        <v>-0.15457142857142833</v>
      </c>
      <c r="N83" s="574">
        <f t="shared" si="18"/>
        <v>0.14971428571428505</v>
      </c>
      <c r="O83" s="597" t="str">
        <f t="shared" si="19"/>
        <v>-</v>
      </c>
      <c r="P83" s="597" t="str">
        <f t="shared" si="20"/>
        <v>-</v>
      </c>
      <c r="Q83" s="598" t="str">
        <f t="shared" si="21"/>
        <v>-</v>
      </c>
      <c r="R83" s="599" t="str">
        <f t="shared" si="22"/>
        <v>-</v>
      </c>
      <c r="S83" s="598" t="str">
        <f t="shared" si="23"/>
        <v>-</v>
      </c>
      <c r="T83" s="600" t="str">
        <f t="shared" si="24"/>
        <v>-</v>
      </c>
      <c r="U83" s="31"/>
      <c r="V83" s="610" t="str">
        <f t="shared" si="25"/>
        <v>-</v>
      </c>
      <c r="W83" s="611" t="str">
        <f t="shared" si="26"/>
        <v>-</v>
      </c>
      <c r="X83" s="612" t="str">
        <f t="shared" si="27"/>
        <v>-</v>
      </c>
      <c r="Y83" s="613" t="str">
        <f t="shared" si="28"/>
        <v>-</v>
      </c>
      <c r="Z83" s="614" t="str">
        <f t="shared" si="29"/>
        <v>-</v>
      </c>
      <c r="AB83" s="201" t="s">
        <v>0</v>
      </c>
    </row>
    <row r="84" spans="1:28" ht="15" customHeight="1" x14ac:dyDescent="0.25">
      <c r="A84" s="5"/>
      <c r="B84" s="38">
        <v>74</v>
      </c>
      <c r="C84" s="205" t="s">
        <v>5</v>
      </c>
      <c r="D84" s="205" t="s">
        <v>5</v>
      </c>
      <c r="E84" s="205" t="s">
        <v>5</v>
      </c>
      <c r="F84" s="205" t="s">
        <v>5</v>
      </c>
      <c r="G84" s="205" t="s">
        <v>5</v>
      </c>
      <c r="H84" s="444"/>
      <c r="I84" s="582" t="s">
        <v>5</v>
      </c>
      <c r="J84" s="582" t="s">
        <v>5</v>
      </c>
      <c r="K84" s="287">
        <f t="shared" si="15"/>
        <v>-0.22057142857142892</v>
      </c>
      <c r="L84" s="287">
        <f t="shared" si="16"/>
        <v>0.21371428571428577</v>
      </c>
      <c r="M84" s="287">
        <f t="shared" si="17"/>
        <v>-0.15371428571428547</v>
      </c>
      <c r="N84" s="574">
        <f t="shared" si="18"/>
        <v>0.14914285714285647</v>
      </c>
      <c r="O84" s="597" t="str">
        <f t="shared" si="19"/>
        <v>-</v>
      </c>
      <c r="P84" s="597" t="str">
        <f t="shared" si="20"/>
        <v>-</v>
      </c>
      <c r="Q84" s="598" t="str">
        <f t="shared" si="21"/>
        <v>-</v>
      </c>
      <c r="R84" s="599" t="str">
        <f t="shared" si="22"/>
        <v>-</v>
      </c>
      <c r="S84" s="598" t="str">
        <f t="shared" si="23"/>
        <v>-</v>
      </c>
      <c r="T84" s="600" t="str">
        <f t="shared" si="24"/>
        <v>-</v>
      </c>
      <c r="U84" s="31"/>
      <c r="V84" s="610" t="str">
        <f t="shared" si="25"/>
        <v>-</v>
      </c>
      <c r="W84" s="611" t="str">
        <f t="shared" si="26"/>
        <v>-</v>
      </c>
      <c r="X84" s="612" t="str">
        <f t="shared" si="27"/>
        <v>-</v>
      </c>
      <c r="Y84" s="613" t="str">
        <f t="shared" si="28"/>
        <v>-</v>
      </c>
      <c r="Z84" s="614" t="str">
        <f t="shared" si="29"/>
        <v>-</v>
      </c>
      <c r="AB84" s="201" t="s">
        <v>0</v>
      </c>
    </row>
    <row r="85" spans="1:28" ht="15" customHeight="1" x14ac:dyDescent="0.25">
      <c r="A85" s="5"/>
      <c r="B85" s="303">
        <v>75</v>
      </c>
      <c r="C85" s="205" t="s">
        <v>5</v>
      </c>
      <c r="D85" s="205" t="s">
        <v>5</v>
      </c>
      <c r="E85" s="205" t="s">
        <v>5</v>
      </c>
      <c r="F85" s="205" t="s">
        <v>5</v>
      </c>
      <c r="G85" s="205" t="s">
        <v>5</v>
      </c>
      <c r="H85" s="444"/>
      <c r="I85" s="582" t="s">
        <v>5</v>
      </c>
      <c r="J85" s="582" t="s">
        <v>5</v>
      </c>
      <c r="K85" s="287">
        <f t="shared" si="15"/>
        <v>-0.21928571428571464</v>
      </c>
      <c r="L85" s="287">
        <f t="shared" si="16"/>
        <v>0.21285714285714291</v>
      </c>
      <c r="M85" s="287">
        <f t="shared" si="17"/>
        <v>-0.15285714285714261</v>
      </c>
      <c r="N85" s="574">
        <f t="shared" si="18"/>
        <v>0.14857142857142788</v>
      </c>
      <c r="O85" s="597" t="str">
        <f t="shared" si="19"/>
        <v>-</v>
      </c>
      <c r="P85" s="597" t="str">
        <f t="shared" si="20"/>
        <v>-</v>
      </c>
      <c r="Q85" s="598" t="str">
        <f t="shared" si="21"/>
        <v>-</v>
      </c>
      <c r="R85" s="599" t="str">
        <f t="shared" si="22"/>
        <v>-</v>
      </c>
      <c r="S85" s="598" t="str">
        <f t="shared" si="23"/>
        <v>-</v>
      </c>
      <c r="T85" s="600" t="str">
        <f t="shared" si="24"/>
        <v>-</v>
      </c>
      <c r="U85" s="31"/>
      <c r="V85" s="610" t="str">
        <f t="shared" si="25"/>
        <v>-</v>
      </c>
      <c r="W85" s="611" t="str">
        <f t="shared" si="26"/>
        <v>-</v>
      </c>
      <c r="X85" s="612" t="str">
        <f t="shared" si="27"/>
        <v>-</v>
      </c>
      <c r="Y85" s="613" t="str">
        <f t="shared" si="28"/>
        <v>-</v>
      </c>
      <c r="Z85" s="614" t="str">
        <f t="shared" si="29"/>
        <v>-</v>
      </c>
      <c r="AB85" s="201" t="s">
        <v>0</v>
      </c>
    </row>
    <row r="86" spans="1:28" ht="15" customHeight="1" x14ac:dyDescent="0.25">
      <c r="A86" s="5"/>
      <c r="B86" s="38">
        <v>76</v>
      </c>
      <c r="C86" s="205" t="s">
        <v>5</v>
      </c>
      <c r="D86" s="205" t="s">
        <v>5</v>
      </c>
      <c r="E86" s="205" t="s">
        <v>5</v>
      </c>
      <c r="F86" s="205" t="s">
        <v>5</v>
      </c>
      <c r="G86" s="205" t="s">
        <v>5</v>
      </c>
      <c r="H86" s="444"/>
      <c r="I86" s="582" t="s">
        <v>5</v>
      </c>
      <c r="J86" s="582" t="s">
        <v>5</v>
      </c>
      <c r="K86" s="287">
        <f t="shared" si="15"/>
        <v>-0.21800000000000036</v>
      </c>
      <c r="L86" s="287">
        <f t="shared" si="16"/>
        <v>0.21200000000000005</v>
      </c>
      <c r="M86" s="287">
        <f t="shared" si="17"/>
        <v>-0.15199999999999975</v>
      </c>
      <c r="N86" s="574">
        <f t="shared" si="18"/>
        <v>0.1479999999999993</v>
      </c>
      <c r="O86" s="597" t="str">
        <f t="shared" si="19"/>
        <v>-</v>
      </c>
      <c r="P86" s="597" t="str">
        <f t="shared" si="20"/>
        <v>-</v>
      </c>
      <c r="Q86" s="598" t="str">
        <f t="shared" si="21"/>
        <v>-</v>
      </c>
      <c r="R86" s="599" t="str">
        <f t="shared" si="22"/>
        <v>-</v>
      </c>
      <c r="S86" s="598" t="str">
        <f t="shared" si="23"/>
        <v>-</v>
      </c>
      <c r="T86" s="600" t="str">
        <f t="shared" si="24"/>
        <v>-</v>
      </c>
      <c r="U86" s="31"/>
      <c r="V86" s="610" t="str">
        <f t="shared" si="25"/>
        <v>-</v>
      </c>
      <c r="W86" s="611" t="str">
        <f t="shared" si="26"/>
        <v>-</v>
      </c>
      <c r="X86" s="612" t="str">
        <f t="shared" si="27"/>
        <v>-</v>
      </c>
      <c r="Y86" s="613" t="str">
        <f t="shared" si="28"/>
        <v>-</v>
      </c>
      <c r="Z86" s="614" t="str">
        <f t="shared" si="29"/>
        <v>-</v>
      </c>
      <c r="AB86" s="201" t="s">
        <v>0</v>
      </c>
    </row>
    <row r="87" spans="1:28" ht="15" customHeight="1" x14ac:dyDescent="0.25">
      <c r="A87" s="5"/>
      <c r="B87" s="303">
        <v>77</v>
      </c>
      <c r="C87" s="205" t="s">
        <v>5</v>
      </c>
      <c r="D87" s="205" t="s">
        <v>5</v>
      </c>
      <c r="E87" s="205" t="s">
        <v>5</v>
      </c>
      <c r="F87" s="205" t="s">
        <v>5</v>
      </c>
      <c r="G87" s="205" t="s">
        <v>5</v>
      </c>
      <c r="H87" s="444"/>
      <c r="I87" s="582" t="s">
        <v>5</v>
      </c>
      <c r="J87" s="582" t="s">
        <v>5</v>
      </c>
      <c r="K87" s="287">
        <f t="shared" si="15"/>
        <v>-0.21671428571428608</v>
      </c>
      <c r="L87" s="287">
        <f t="shared" si="16"/>
        <v>0.21114285714285719</v>
      </c>
      <c r="M87" s="287">
        <f t="shared" si="17"/>
        <v>-0.15114285714285688</v>
      </c>
      <c r="N87" s="574">
        <f t="shared" si="18"/>
        <v>0.14742857142857071</v>
      </c>
      <c r="O87" s="597" t="str">
        <f t="shared" si="19"/>
        <v>-</v>
      </c>
      <c r="P87" s="597" t="str">
        <f t="shared" si="20"/>
        <v>-</v>
      </c>
      <c r="Q87" s="598" t="str">
        <f t="shared" si="21"/>
        <v>-</v>
      </c>
      <c r="R87" s="599" t="str">
        <f t="shared" si="22"/>
        <v>-</v>
      </c>
      <c r="S87" s="598" t="str">
        <f t="shared" si="23"/>
        <v>-</v>
      </c>
      <c r="T87" s="600" t="str">
        <f t="shared" si="24"/>
        <v>-</v>
      </c>
      <c r="U87" s="31"/>
      <c r="V87" s="610" t="str">
        <f t="shared" si="25"/>
        <v>-</v>
      </c>
      <c r="W87" s="611" t="str">
        <f t="shared" si="26"/>
        <v>-</v>
      </c>
      <c r="X87" s="612" t="str">
        <f t="shared" si="27"/>
        <v>-</v>
      </c>
      <c r="Y87" s="613" t="str">
        <f t="shared" si="28"/>
        <v>-</v>
      </c>
      <c r="Z87" s="614" t="str">
        <f t="shared" si="29"/>
        <v>-</v>
      </c>
      <c r="AB87" s="201" t="s">
        <v>0</v>
      </c>
    </row>
    <row r="88" spans="1:28" ht="15" customHeight="1" x14ac:dyDescent="0.25">
      <c r="A88" s="5"/>
      <c r="B88" s="38">
        <v>78</v>
      </c>
      <c r="C88" s="205" t="s">
        <v>5</v>
      </c>
      <c r="D88" s="205" t="s">
        <v>5</v>
      </c>
      <c r="E88" s="205" t="s">
        <v>5</v>
      </c>
      <c r="F88" s="205" t="s">
        <v>5</v>
      </c>
      <c r="G88" s="205" t="s">
        <v>5</v>
      </c>
      <c r="H88" s="444"/>
      <c r="I88" s="582" t="s">
        <v>5</v>
      </c>
      <c r="J88" s="582" t="s">
        <v>5</v>
      </c>
      <c r="K88" s="287">
        <f t="shared" si="15"/>
        <v>-0.2154285714285718</v>
      </c>
      <c r="L88" s="287">
        <f t="shared" si="16"/>
        <v>0.21028571428571433</v>
      </c>
      <c r="M88" s="287">
        <f t="shared" si="17"/>
        <v>-0.15028571428571402</v>
      </c>
      <c r="N88" s="574">
        <f t="shared" si="18"/>
        <v>0.14685714285714213</v>
      </c>
      <c r="O88" s="597" t="str">
        <f t="shared" si="19"/>
        <v>-</v>
      </c>
      <c r="P88" s="597" t="str">
        <f t="shared" si="20"/>
        <v>-</v>
      </c>
      <c r="Q88" s="598" t="str">
        <f t="shared" si="21"/>
        <v>-</v>
      </c>
      <c r="R88" s="599" t="str">
        <f t="shared" si="22"/>
        <v>-</v>
      </c>
      <c r="S88" s="598" t="str">
        <f t="shared" si="23"/>
        <v>-</v>
      </c>
      <c r="T88" s="600" t="str">
        <f t="shared" si="24"/>
        <v>-</v>
      </c>
      <c r="U88" s="31"/>
      <c r="V88" s="610" t="str">
        <f t="shared" si="25"/>
        <v>-</v>
      </c>
      <c r="W88" s="611" t="str">
        <f t="shared" si="26"/>
        <v>-</v>
      </c>
      <c r="X88" s="612" t="str">
        <f t="shared" si="27"/>
        <v>-</v>
      </c>
      <c r="Y88" s="613" t="str">
        <f t="shared" si="28"/>
        <v>-</v>
      </c>
      <c r="Z88" s="614" t="str">
        <f t="shared" si="29"/>
        <v>-</v>
      </c>
      <c r="AB88" s="201" t="s">
        <v>0</v>
      </c>
    </row>
    <row r="89" spans="1:28" ht="15" customHeight="1" x14ac:dyDescent="0.25">
      <c r="A89" s="5"/>
      <c r="B89" s="303">
        <v>79</v>
      </c>
      <c r="C89" s="205" t="s">
        <v>5</v>
      </c>
      <c r="D89" s="205" t="s">
        <v>5</v>
      </c>
      <c r="E89" s="205" t="s">
        <v>5</v>
      </c>
      <c r="F89" s="205" t="s">
        <v>5</v>
      </c>
      <c r="G89" s="205" t="s">
        <v>5</v>
      </c>
      <c r="H89" s="444"/>
      <c r="I89" s="582" t="s">
        <v>5</v>
      </c>
      <c r="J89" s="582" t="s">
        <v>5</v>
      </c>
      <c r="K89" s="287">
        <f t="shared" si="15"/>
        <v>-0.21414285714285752</v>
      </c>
      <c r="L89" s="287">
        <f t="shared" si="16"/>
        <v>0.20942857142857146</v>
      </c>
      <c r="M89" s="287">
        <f t="shared" si="17"/>
        <v>-0.14942857142857116</v>
      </c>
      <c r="N89" s="574">
        <f t="shared" si="18"/>
        <v>0.14628571428571355</v>
      </c>
      <c r="O89" s="597" t="str">
        <f t="shared" si="19"/>
        <v>-</v>
      </c>
      <c r="P89" s="597" t="str">
        <f t="shared" si="20"/>
        <v>-</v>
      </c>
      <c r="Q89" s="598" t="str">
        <f t="shared" si="21"/>
        <v>-</v>
      </c>
      <c r="R89" s="599" t="str">
        <f t="shared" si="22"/>
        <v>-</v>
      </c>
      <c r="S89" s="598" t="str">
        <f t="shared" si="23"/>
        <v>-</v>
      </c>
      <c r="T89" s="600" t="str">
        <f t="shared" si="24"/>
        <v>-</v>
      </c>
      <c r="U89" s="31"/>
      <c r="V89" s="610" t="str">
        <f t="shared" si="25"/>
        <v>-</v>
      </c>
      <c r="W89" s="611" t="str">
        <f t="shared" si="26"/>
        <v>-</v>
      </c>
      <c r="X89" s="612" t="str">
        <f t="shared" si="27"/>
        <v>-</v>
      </c>
      <c r="Y89" s="613" t="str">
        <f t="shared" si="28"/>
        <v>-</v>
      </c>
      <c r="Z89" s="614" t="str">
        <f t="shared" si="29"/>
        <v>-</v>
      </c>
      <c r="AB89" s="201" t="s">
        <v>0</v>
      </c>
    </row>
    <row r="90" spans="1:28" ht="15" customHeight="1" x14ac:dyDescent="0.25">
      <c r="A90" s="5"/>
      <c r="B90" s="38">
        <v>80</v>
      </c>
      <c r="C90" s="205" t="s">
        <v>5</v>
      </c>
      <c r="D90" s="205" t="s">
        <v>5</v>
      </c>
      <c r="E90" s="205" t="s">
        <v>5</v>
      </c>
      <c r="F90" s="205" t="s">
        <v>5</v>
      </c>
      <c r="G90" s="205" t="s">
        <v>5</v>
      </c>
      <c r="H90" s="444"/>
      <c r="I90" s="582" t="s">
        <v>5</v>
      </c>
      <c r="J90" s="582" t="s">
        <v>5</v>
      </c>
      <c r="K90" s="287">
        <f t="shared" si="15"/>
        <v>-0.21285714285714324</v>
      </c>
      <c r="L90" s="287">
        <f t="shared" si="16"/>
        <v>0.2085714285714286</v>
      </c>
      <c r="M90" s="287">
        <f t="shared" si="17"/>
        <v>-0.1485714285714283</v>
      </c>
      <c r="N90" s="574">
        <f t="shared" si="18"/>
        <v>0.14571428571428496</v>
      </c>
      <c r="O90" s="597" t="str">
        <f t="shared" si="19"/>
        <v>-</v>
      </c>
      <c r="P90" s="597" t="str">
        <f t="shared" si="20"/>
        <v>-</v>
      </c>
      <c r="Q90" s="598" t="str">
        <f t="shared" si="21"/>
        <v>-</v>
      </c>
      <c r="R90" s="599" t="str">
        <f t="shared" si="22"/>
        <v>-</v>
      </c>
      <c r="S90" s="598" t="str">
        <f t="shared" si="23"/>
        <v>-</v>
      </c>
      <c r="T90" s="600" t="str">
        <f t="shared" si="24"/>
        <v>-</v>
      </c>
      <c r="U90" s="31"/>
      <c r="V90" s="610" t="str">
        <f t="shared" si="25"/>
        <v>-</v>
      </c>
      <c r="W90" s="611" t="str">
        <f t="shared" si="26"/>
        <v>-</v>
      </c>
      <c r="X90" s="612" t="str">
        <f t="shared" si="27"/>
        <v>-</v>
      </c>
      <c r="Y90" s="613" t="str">
        <f t="shared" si="28"/>
        <v>-</v>
      </c>
      <c r="Z90" s="614" t="str">
        <f t="shared" si="29"/>
        <v>-</v>
      </c>
      <c r="AB90" s="201" t="s">
        <v>0</v>
      </c>
    </row>
    <row r="91" spans="1:28" ht="15" customHeight="1" x14ac:dyDescent="0.25">
      <c r="A91" s="5"/>
      <c r="B91" s="303">
        <v>81</v>
      </c>
      <c r="C91" s="205" t="s">
        <v>5</v>
      </c>
      <c r="D91" s="205" t="s">
        <v>5</v>
      </c>
      <c r="E91" s="205" t="s">
        <v>5</v>
      </c>
      <c r="F91" s="205" t="s">
        <v>5</v>
      </c>
      <c r="G91" s="205" t="s">
        <v>5</v>
      </c>
      <c r="H91" s="444"/>
      <c r="I91" s="582" t="s">
        <v>5</v>
      </c>
      <c r="J91" s="582" t="s">
        <v>5</v>
      </c>
      <c r="K91" s="287">
        <f t="shared" si="15"/>
        <v>-0.21157142857142897</v>
      </c>
      <c r="L91" s="287">
        <f t="shared" si="16"/>
        <v>0.20771428571428574</v>
      </c>
      <c r="M91" s="287">
        <f t="shared" si="17"/>
        <v>-0.14771428571428544</v>
      </c>
      <c r="N91" s="574">
        <f t="shared" si="18"/>
        <v>0.14514285714285638</v>
      </c>
      <c r="O91" s="597" t="str">
        <f t="shared" si="19"/>
        <v>-</v>
      </c>
      <c r="P91" s="597" t="str">
        <f t="shared" si="20"/>
        <v>-</v>
      </c>
      <c r="Q91" s="598" t="str">
        <f t="shared" si="21"/>
        <v>-</v>
      </c>
      <c r="R91" s="599" t="str">
        <f t="shared" si="22"/>
        <v>-</v>
      </c>
      <c r="S91" s="598" t="str">
        <f t="shared" si="23"/>
        <v>-</v>
      </c>
      <c r="T91" s="600" t="str">
        <f t="shared" si="24"/>
        <v>-</v>
      </c>
      <c r="U91" s="31"/>
      <c r="V91" s="610" t="str">
        <f t="shared" si="25"/>
        <v>-</v>
      </c>
      <c r="W91" s="611" t="str">
        <f t="shared" si="26"/>
        <v>-</v>
      </c>
      <c r="X91" s="612" t="str">
        <f t="shared" si="27"/>
        <v>-</v>
      </c>
      <c r="Y91" s="613" t="str">
        <f t="shared" si="28"/>
        <v>-</v>
      </c>
      <c r="Z91" s="614" t="str">
        <f t="shared" si="29"/>
        <v>-</v>
      </c>
      <c r="AB91" s="201" t="s">
        <v>0</v>
      </c>
    </row>
    <row r="92" spans="1:28" ht="15" customHeight="1" x14ac:dyDescent="0.25">
      <c r="A92" s="5"/>
      <c r="B92" s="38">
        <v>82</v>
      </c>
      <c r="C92" s="205" t="s">
        <v>5</v>
      </c>
      <c r="D92" s="205" t="s">
        <v>5</v>
      </c>
      <c r="E92" s="205" t="s">
        <v>5</v>
      </c>
      <c r="F92" s="205" t="s">
        <v>5</v>
      </c>
      <c r="G92" s="205" t="s">
        <v>5</v>
      </c>
      <c r="H92" s="444"/>
      <c r="I92" s="582" t="s">
        <v>5</v>
      </c>
      <c r="J92" s="582" t="s">
        <v>5</v>
      </c>
      <c r="K92" s="287">
        <f t="shared" si="15"/>
        <v>-0.21028571428571469</v>
      </c>
      <c r="L92" s="287">
        <f t="shared" si="16"/>
        <v>0.20685714285714288</v>
      </c>
      <c r="M92" s="287">
        <f t="shared" si="17"/>
        <v>-0.14685714285714258</v>
      </c>
      <c r="N92" s="574">
        <f t="shared" si="18"/>
        <v>0.1445714285714278</v>
      </c>
      <c r="O92" s="597" t="str">
        <f t="shared" si="19"/>
        <v>-</v>
      </c>
      <c r="P92" s="597" t="str">
        <f t="shared" si="20"/>
        <v>-</v>
      </c>
      <c r="Q92" s="598" t="str">
        <f t="shared" si="21"/>
        <v>-</v>
      </c>
      <c r="R92" s="599" t="str">
        <f t="shared" si="22"/>
        <v>-</v>
      </c>
      <c r="S92" s="598" t="str">
        <f t="shared" si="23"/>
        <v>-</v>
      </c>
      <c r="T92" s="600" t="str">
        <f t="shared" si="24"/>
        <v>-</v>
      </c>
      <c r="U92" s="31"/>
      <c r="V92" s="610" t="str">
        <f t="shared" si="25"/>
        <v>-</v>
      </c>
      <c r="W92" s="611" t="str">
        <f t="shared" si="26"/>
        <v>-</v>
      </c>
      <c r="X92" s="612" t="str">
        <f t="shared" si="27"/>
        <v>-</v>
      </c>
      <c r="Y92" s="613" t="str">
        <f t="shared" si="28"/>
        <v>-</v>
      </c>
      <c r="Z92" s="614" t="str">
        <f t="shared" si="29"/>
        <v>-</v>
      </c>
      <c r="AB92" s="201" t="s">
        <v>0</v>
      </c>
    </row>
    <row r="93" spans="1:28" ht="15" customHeight="1" x14ac:dyDescent="0.25">
      <c r="A93" s="5"/>
      <c r="B93" s="303">
        <v>83</v>
      </c>
      <c r="C93" s="205" t="s">
        <v>5</v>
      </c>
      <c r="D93" s="205" t="s">
        <v>5</v>
      </c>
      <c r="E93" s="205" t="s">
        <v>5</v>
      </c>
      <c r="F93" s="205" t="s">
        <v>5</v>
      </c>
      <c r="G93" s="205" t="s">
        <v>5</v>
      </c>
      <c r="H93" s="444"/>
      <c r="I93" s="582" t="s">
        <v>5</v>
      </c>
      <c r="J93" s="582" t="s">
        <v>5</v>
      </c>
      <c r="K93" s="287">
        <f t="shared" si="15"/>
        <v>-0.20900000000000041</v>
      </c>
      <c r="L93" s="287">
        <f t="shared" si="16"/>
        <v>0.20600000000000002</v>
      </c>
      <c r="M93" s="287">
        <f t="shared" si="17"/>
        <v>-0.14599999999999971</v>
      </c>
      <c r="N93" s="574">
        <f t="shared" si="18"/>
        <v>0.14399999999999921</v>
      </c>
      <c r="O93" s="597" t="str">
        <f t="shared" si="19"/>
        <v>-</v>
      </c>
      <c r="P93" s="597" t="str">
        <f t="shared" si="20"/>
        <v>-</v>
      </c>
      <c r="Q93" s="598" t="str">
        <f t="shared" si="21"/>
        <v>-</v>
      </c>
      <c r="R93" s="599" t="str">
        <f t="shared" si="22"/>
        <v>-</v>
      </c>
      <c r="S93" s="598" t="str">
        <f t="shared" si="23"/>
        <v>-</v>
      </c>
      <c r="T93" s="600" t="str">
        <f t="shared" si="24"/>
        <v>-</v>
      </c>
      <c r="U93" s="31"/>
      <c r="V93" s="610" t="str">
        <f t="shared" si="25"/>
        <v>-</v>
      </c>
      <c r="W93" s="611" t="str">
        <f t="shared" si="26"/>
        <v>-</v>
      </c>
      <c r="X93" s="612" t="str">
        <f t="shared" si="27"/>
        <v>-</v>
      </c>
      <c r="Y93" s="613" t="str">
        <f t="shared" si="28"/>
        <v>-</v>
      </c>
      <c r="Z93" s="614" t="str">
        <f t="shared" si="29"/>
        <v>-</v>
      </c>
      <c r="AB93" s="201" t="s">
        <v>0</v>
      </c>
    </row>
    <row r="94" spans="1:28" ht="15" customHeight="1" x14ac:dyDescent="0.25">
      <c r="A94" s="5"/>
      <c r="B94" s="38">
        <v>84</v>
      </c>
      <c r="C94" s="205" t="s">
        <v>5</v>
      </c>
      <c r="D94" s="205" t="s">
        <v>5</v>
      </c>
      <c r="E94" s="205" t="s">
        <v>5</v>
      </c>
      <c r="F94" s="205" t="s">
        <v>5</v>
      </c>
      <c r="G94" s="205" t="s">
        <v>5</v>
      </c>
      <c r="H94" s="444"/>
      <c r="I94" s="582" t="s">
        <v>5</v>
      </c>
      <c r="J94" s="582" t="s">
        <v>5</v>
      </c>
      <c r="K94" s="287">
        <f t="shared" si="15"/>
        <v>-0.20771428571428613</v>
      </c>
      <c r="L94" s="287">
        <f t="shared" si="16"/>
        <v>0.20514285714285715</v>
      </c>
      <c r="M94" s="287">
        <f t="shared" si="17"/>
        <v>-0.14514285714285685</v>
      </c>
      <c r="N94" s="574">
        <f t="shared" si="18"/>
        <v>0.14342857142857063</v>
      </c>
      <c r="O94" s="597" t="str">
        <f t="shared" si="19"/>
        <v>-</v>
      </c>
      <c r="P94" s="597" t="str">
        <f t="shared" si="20"/>
        <v>-</v>
      </c>
      <c r="Q94" s="598" t="str">
        <f t="shared" si="21"/>
        <v>-</v>
      </c>
      <c r="R94" s="599" t="str">
        <f t="shared" si="22"/>
        <v>-</v>
      </c>
      <c r="S94" s="598" t="str">
        <f t="shared" si="23"/>
        <v>-</v>
      </c>
      <c r="T94" s="600" t="str">
        <f t="shared" si="24"/>
        <v>-</v>
      </c>
      <c r="U94" s="31"/>
      <c r="V94" s="610" t="str">
        <f t="shared" si="25"/>
        <v>-</v>
      </c>
      <c r="W94" s="611" t="str">
        <f t="shared" si="26"/>
        <v>-</v>
      </c>
      <c r="X94" s="612" t="str">
        <f t="shared" si="27"/>
        <v>-</v>
      </c>
      <c r="Y94" s="613" t="str">
        <f t="shared" si="28"/>
        <v>-</v>
      </c>
      <c r="Z94" s="614" t="str">
        <f t="shared" si="29"/>
        <v>-</v>
      </c>
      <c r="AB94" s="201" t="s">
        <v>0</v>
      </c>
    </row>
    <row r="95" spans="1:28" ht="15" customHeight="1" x14ac:dyDescent="0.25">
      <c r="A95" s="5"/>
      <c r="B95" s="303">
        <v>85</v>
      </c>
      <c r="C95" s="205" t="s">
        <v>5</v>
      </c>
      <c r="D95" s="205" t="s">
        <v>5</v>
      </c>
      <c r="E95" s="205" t="s">
        <v>5</v>
      </c>
      <c r="F95" s="205" t="s">
        <v>5</v>
      </c>
      <c r="G95" s="205" t="s">
        <v>5</v>
      </c>
      <c r="H95" s="444"/>
      <c r="I95" s="582" t="s">
        <v>5</v>
      </c>
      <c r="J95" s="582" t="s">
        <v>5</v>
      </c>
      <c r="K95" s="287">
        <f t="shared" si="15"/>
        <v>-0.20642857142857185</v>
      </c>
      <c r="L95" s="287">
        <f t="shared" si="16"/>
        <v>0.20428571428571429</v>
      </c>
      <c r="M95" s="287">
        <f t="shared" si="17"/>
        <v>-0.14428571428571399</v>
      </c>
      <c r="N95" s="574">
        <f t="shared" si="18"/>
        <v>0.14285714285714204</v>
      </c>
      <c r="O95" s="597" t="str">
        <f t="shared" si="19"/>
        <v>-</v>
      </c>
      <c r="P95" s="597" t="str">
        <f t="shared" si="20"/>
        <v>-</v>
      </c>
      <c r="Q95" s="598" t="str">
        <f t="shared" si="21"/>
        <v>-</v>
      </c>
      <c r="R95" s="599" t="str">
        <f t="shared" si="22"/>
        <v>-</v>
      </c>
      <c r="S95" s="598" t="str">
        <f t="shared" si="23"/>
        <v>-</v>
      </c>
      <c r="T95" s="600" t="str">
        <f t="shared" si="24"/>
        <v>-</v>
      </c>
      <c r="U95" s="31"/>
      <c r="V95" s="610" t="str">
        <f t="shared" si="25"/>
        <v>-</v>
      </c>
      <c r="W95" s="611" t="str">
        <f t="shared" si="26"/>
        <v>-</v>
      </c>
      <c r="X95" s="612" t="str">
        <f t="shared" si="27"/>
        <v>-</v>
      </c>
      <c r="Y95" s="613" t="str">
        <f t="shared" si="28"/>
        <v>-</v>
      </c>
      <c r="Z95" s="614" t="str">
        <f t="shared" si="29"/>
        <v>-</v>
      </c>
      <c r="AB95" s="201" t="s">
        <v>0</v>
      </c>
    </row>
    <row r="96" spans="1:28" ht="15" customHeight="1" x14ac:dyDescent="0.25">
      <c r="A96" s="5"/>
      <c r="B96" s="38">
        <v>86</v>
      </c>
      <c r="C96" s="205" t="s">
        <v>5</v>
      </c>
      <c r="D96" s="205" t="s">
        <v>5</v>
      </c>
      <c r="E96" s="205" t="s">
        <v>5</v>
      </c>
      <c r="F96" s="205" t="s">
        <v>5</v>
      </c>
      <c r="G96" s="205" t="s">
        <v>5</v>
      </c>
      <c r="H96" s="444"/>
      <c r="I96" s="582" t="s">
        <v>5</v>
      </c>
      <c r="J96" s="582" t="s">
        <v>5</v>
      </c>
      <c r="K96" s="287">
        <f t="shared" si="15"/>
        <v>-0.20514285714285757</v>
      </c>
      <c r="L96" s="287">
        <f t="shared" si="16"/>
        <v>0.20342857142857143</v>
      </c>
      <c r="M96" s="287">
        <f t="shared" si="17"/>
        <v>-0.14342857142857113</v>
      </c>
      <c r="N96" s="574">
        <f t="shared" si="18"/>
        <v>0.14228571428571346</v>
      </c>
      <c r="O96" s="597" t="str">
        <f t="shared" si="19"/>
        <v>-</v>
      </c>
      <c r="P96" s="597" t="str">
        <f t="shared" si="20"/>
        <v>-</v>
      </c>
      <c r="Q96" s="598" t="str">
        <f t="shared" si="21"/>
        <v>-</v>
      </c>
      <c r="R96" s="599" t="str">
        <f t="shared" si="22"/>
        <v>-</v>
      </c>
      <c r="S96" s="598" t="str">
        <f t="shared" si="23"/>
        <v>-</v>
      </c>
      <c r="T96" s="600" t="str">
        <f t="shared" si="24"/>
        <v>-</v>
      </c>
      <c r="U96" s="31"/>
      <c r="V96" s="610" t="str">
        <f t="shared" si="25"/>
        <v>-</v>
      </c>
      <c r="W96" s="611" t="str">
        <f t="shared" si="26"/>
        <v>-</v>
      </c>
      <c r="X96" s="612" t="str">
        <f t="shared" si="27"/>
        <v>-</v>
      </c>
      <c r="Y96" s="613" t="str">
        <f t="shared" si="28"/>
        <v>-</v>
      </c>
      <c r="Z96" s="614" t="str">
        <f t="shared" si="29"/>
        <v>-</v>
      </c>
      <c r="AB96" s="201" t="s">
        <v>0</v>
      </c>
    </row>
    <row r="97" spans="1:28" ht="15" customHeight="1" x14ac:dyDescent="0.25">
      <c r="A97" s="5"/>
      <c r="B97" s="303">
        <v>87</v>
      </c>
      <c r="C97" s="205" t="s">
        <v>5</v>
      </c>
      <c r="D97" s="205" t="s">
        <v>5</v>
      </c>
      <c r="E97" s="205" t="s">
        <v>5</v>
      </c>
      <c r="F97" s="205" t="s">
        <v>5</v>
      </c>
      <c r="G97" s="205" t="s">
        <v>5</v>
      </c>
      <c r="H97" s="444"/>
      <c r="I97" s="582" t="s">
        <v>5</v>
      </c>
      <c r="J97" s="582" t="s">
        <v>5</v>
      </c>
      <c r="K97" s="287">
        <f t="shared" si="15"/>
        <v>-0.20385714285714329</v>
      </c>
      <c r="L97" s="287">
        <f t="shared" si="16"/>
        <v>0.20257142857142857</v>
      </c>
      <c r="M97" s="287">
        <f t="shared" si="17"/>
        <v>-0.14257142857142827</v>
      </c>
      <c r="N97" s="574">
        <f t="shared" si="18"/>
        <v>0.14171428571428488</v>
      </c>
      <c r="O97" s="597" t="str">
        <f t="shared" si="19"/>
        <v>-</v>
      </c>
      <c r="P97" s="597" t="str">
        <f t="shared" si="20"/>
        <v>-</v>
      </c>
      <c r="Q97" s="598" t="str">
        <f t="shared" si="21"/>
        <v>-</v>
      </c>
      <c r="R97" s="599" t="str">
        <f t="shared" si="22"/>
        <v>-</v>
      </c>
      <c r="S97" s="598" t="str">
        <f t="shared" si="23"/>
        <v>-</v>
      </c>
      <c r="T97" s="600" t="str">
        <f t="shared" si="24"/>
        <v>-</v>
      </c>
      <c r="U97" s="31"/>
      <c r="V97" s="610" t="str">
        <f t="shared" si="25"/>
        <v>-</v>
      </c>
      <c r="W97" s="611" t="str">
        <f t="shared" si="26"/>
        <v>-</v>
      </c>
      <c r="X97" s="612" t="str">
        <f t="shared" si="27"/>
        <v>-</v>
      </c>
      <c r="Y97" s="613" t="str">
        <f t="shared" si="28"/>
        <v>-</v>
      </c>
      <c r="Z97" s="614" t="str">
        <f t="shared" si="29"/>
        <v>-</v>
      </c>
      <c r="AB97" s="201" t="s">
        <v>0</v>
      </c>
    </row>
    <row r="98" spans="1:28" ht="15" customHeight="1" x14ac:dyDescent="0.25">
      <c r="A98" s="5"/>
      <c r="B98" s="38">
        <v>88</v>
      </c>
      <c r="C98" s="205" t="s">
        <v>5</v>
      </c>
      <c r="D98" s="205" t="s">
        <v>5</v>
      </c>
      <c r="E98" s="205" t="s">
        <v>5</v>
      </c>
      <c r="F98" s="205" t="s">
        <v>5</v>
      </c>
      <c r="G98" s="205" t="s">
        <v>5</v>
      </c>
      <c r="H98" s="444"/>
      <c r="I98" s="582" t="s">
        <v>5</v>
      </c>
      <c r="J98" s="582" t="s">
        <v>5</v>
      </c>
      <c r="K98" s="287">
        <f t="shared" si="15"/>
        <v>-0.20257142857142901</v>
      </c>
      <c r="L98" s="287">
        <f t="shared" si="16"/>
        <v>0.20171428571428571</v>
      </c>
      <c r="M98" s="287">
        <f t="shared" si="17"/>
        <v>-0.1417142857142854</v>
      </c>
      <c r="N98" s="574">
        <f t="shared" si="18"/>
        <v>0.14114285714285629</v>
      </c>
      <c r="O98" s="597" t="str">
        <f t="shared" si="19"/>
        <v>-</v>
      </c>
      <c r="P98" s="597" t="str">
        <f t="shared" si="20"/>
        <v>-</v>
      </c>
      <c r="Q98" s="598" t="str">
        <f t="shared" si="21"/>
        <v>-</v>
      </c>
      <c r="R98" s="599" t="str">
        <f t="shared" si="22"/>
        <v>-</v>
      </c>
      <c r="S98" s="598" t="str">
        <f t="shared" si="23"/>
        <v>-</v>
      </c>
      <c r="T98" s="600" t="str">
        <f t="shared" si="24"/>
        <v>-</v>
      </c>
      <c r="U98" s="31"/>
      <c r="V98" s="610" t="str">
        <f t="shared" si="25"/>
        <v>-</v>
      </c>
      <c r="W98" s="611" t="str">
        <f t="shared" si="26"/>
        <v>-</v>
      </c>
      <c r="X98" s="612" t="str">
        <f t="shared" si="27"/>
        <v>-</v>
      </c>
      <c r="Y98" s="613" t="str">
        <f t="shared" si="28"/>
        <v>-</v>
      </c>
      <c r="Z98" s="614" t="str">
        <f t="shared" si="29"/>
        <v>-</v>
      </c>
      <c r="AB98" s="201" t="s">
        <v>0</v>
      </c>
    </row>
    <row r="99" spans="1:28" ht="15" customHeight="1" x14ac:dyDescent="0.25">
      <c r="A99" s="5"/>
      <c r="B99" s="303">
        <v>89</v>
      </c>
      <c r="C99" s="205" t="s">
        <v>5</v>
      </c>
      <c r="D99" s="205" t="s">
        <v>5</v>
      </c>
      <c r="E99" s="205" t="s">
        <v>5</v>
      </c>
      <c r="F99" s="205" t="s">
        <v>5</v>
      </c>
      <c r="G99" s="205" t="s">
        <v>5</v>
      </c>
      <c r="H99" s="444"/>
      <c r="I99" s="582" t="s">
        <v>5</v>
      </c>
      <c r="J99" s="582" t="s">
        <v>5</v>
      </c>
      <c r="K99" s="287">
        <f t="shared" si="15"/>
        <v>-0.20128571428571473</v>
      </c>
      <c r="L99" s="287">
        <f t="shared" si="16"/>
        <v>0.20085714285714285</v>
      </c>
      <c r="M99" s="287">
        <f t="shared" si="17"/>
        <v>-0.14085714285714254</v>
      </c>
      <c r="N99" s="574">
        <f t="shared" si="18"/>
        <v>0.14057142857142771</v>
      </c>
      <c r="O99" s="597" t="str">
        <f t="shared" si="19"/>
        <v>-</v>
      </c>
      <c r="P99" s="597" t="str">
        <f t="shared" si="20"/>
        <v>-</v>
      </c>
      <c r="Q99" s="598" t="str">
        <f t="shared" si="21"/>
        <v>-</v>
      </c>
      <c r="R99" s="599" t="str">
        <f t="shared" si="22"/>
        <v>-</v>
      </c>
      <c r="S99" s="598" t="str">
        <f t="shared" si="23"/>
        <v>-</v>
      </c>
      <c r="T99" s="600" t="str">
        <f t="shared" si="24"/>
        <v>-</v>
      </c>
      <c r="U99" s="31"/>
      <c r="V99" s="610" t="str">
        <f t="shared" si="25"/>
        <v>-</v>
      </c>
      <c r="W99" s="611" t="str">
        <f t="shared" si="26"/>
        <v>-</v>
      </c>
      <c r="X99" s="612" t="str">
        <f t="shared" si="27"/>
        <v>-</v>
      </c>
      <c r="Y99" s="613" t="str">
        <f t="shared" si="28"/>
        <v>-</v>
      </c>
      <c r="Z99" s="614" t="str">
        <f t="shared" si="29"/>
        <v>-</v>
      </c>
      <c r="AB99" s="201" t="s">
        <v>0</v>
      </c>
    </row>
    <row r="100" spans="1:28" ht="15" customHeight="1" x14ac:dyDescent="0.25">
      <c r="A100" s="5"/>
      <c r="B100" s="38">
        <v>90</v>
      </c>
      <c r="C100" s="205" t="s">
        <v>5</v>
      </c>
      <c r="D100" s="205" t="s">
        <v>5</v>
      </c>
      <c r="E100" s="205" t="s">
        <v>5</v>
      </c>
      <c r="F100" s="205" t="s">
        <v>5</v>
      </c>
      <c r="G100" s="205" t="s">
        <v>5</v>
      </c>
      <c r="H100" s="444"/>
      <c r="I100" s="582" t="s">
        <v>5</v>
      </c>
      <c r="J100" s="582" t="s">
        <v>5</v>
      </c>
      <c r="K100" s="287">
        <v>-0.2</v>
      </c>
      <c r="L100" s="287">
        <v>0.2</v>
      </c>
      <c r="M100" s="287">
        <v>-0.14000000000000001</v>
      </c>
      <c r="N100" s="574">
        <v>0.14000000000000001</v>
      </c>
      <c r="O100" s="597" t="str">
        <f t="shared" si="19"/>
        <v>-</v>
      </c>
      <c r="P100" s="597" t="str">
        <f t="shared" si="20"/>
        <v>-</v>
      </c>
      <c r="Q100" s="598" t="str">
        <f t="shared" si="21"/>
        <v>-</v>
      </c>
      <c r="R100" s="599" t="str">
        <f t="shared" si="22"/>
        <v>-</v>
      </c>
      <c r="S100" s="598" t="str">
        <f t="shared" si="23"/>
        <v>-</v>
      </c>
      <c r="T100" s="600" t="str">
        <f t="shared" si="24"/>
        <v>-</v>
      </c>
      <c r="U100" s="31"/>
      <c r="V100" s="610" t="str">
        <f t="shared" si="25"/>
        <v>-</v>
      </c>
      <c r="W100" s="611" t="str">
        <f t="shared" si="26"/>
        <v>-</v>
      </c>
      <c r="X100" s="612" t="str">
        <f t="shared" si="27"/>
        <v>-</v>
      </c>
      <c r="Y100" s="613" t="str">
        <f t="shared" si="28"/>
        <v>-</v>
      </c>
      <c r="Z100" s="614" t="str">
        <f t="shared" si="29"/>
        <v>-</v>
      </c>
      <c r="AB100" s="201" t="s">
        <v>0</v>
      </c>
    </row>
    <row r="101" spans="1:28" ht="15" customHeight="1" x14ac:dyDescent="0.25">
      <c r="A101" s="5"/>
      <c r="B101" s="303">
        <v>91</v>
      </c>
      <c r="C101" s="205" t="s">
        <v>5</v>
      </c>
      <c r="D101" s="205" t="s">
        <v>5</v>
      </c>
      <c r="E101" s="205" t="s">
        <v>5</v>
      </c>
      <c r="F101" s="205" t="s">
        <v>5</v>
      </c>
      <c r="G101" s="205" t="s">
        <v>5</v>
      </c>
      <c r="H101" s="444"/>
      <c r="I101" s="582" t="s">
        <v>5</v>
      </c>
      <c r="J101" s="582" t="s">
        <v>5</v>
      </c>
      <c r="K101" s="287">
        <v>-0.2</v>
      </c>
      <c r="L101" s="287">
        <v>0.2</v>
      </c>
      <c r="M101" s="287">
        <v>-0.14000000000000001</v>
      </c>
      <c r="N101" s="574">
        <v>0.14000000000000001</v>
      </c>
      <c r="O101" s="597" t="str">
        <f t="shared" si="19"/>
        <v>-</v>
      </c>
      <c r="P101" s="597" t="str">
        <f t="shared" si="20"/>
        <v>-</v>
      </c>
      <c r="Q101" s="598" t="str">
        <f t="shared" si="21"/>
        <v>-</v>
      </c>
      <c r="R101" s="599" t="str">
        <f t="shared" si="22"/>
        <v>-</v>
      </c>
      <c r="S101" s="598" t="str">
        <f t="shared" si="23"/>
        <v>-</v>
      </c>
      <c r="T101" s="600" t="str">
        <f t="shared" si="24"/>
        <v>-</v>
      </c>
      <c r="U101" s="31"/>
      <c r="V101" s="610" t="str">
        <f t="shared" si="25"/>
        <v>-</v>
      </c>
      <c r="W101" s="611" t="str">
        <f t="shared" si="26"/>
        <v>-</v>
      </c>
      <c r="X101" s="612" t="str">
        <f t="shared" si="27"/>
        <v>-</v>
      </c>
      <c r="Y101" s="613" t="str">
        <f t="shared" si="28"/>
        <v>-</v>
      </c>
      <c r="Z101" s="614" t="str">
        <f t="shared" si="29"/>
        <v>-</v>
      </c>
      <c r="AB101" s="201" t="s">
        <v>0</v>
      </c>
    </row>
    <row r="102" spans="1:28" ht="15" customHeight="1" x14ac:dyDescent="0.25">
      <c r="A102" s="5"/>
      <c r="B102" s="38">
        <v>92</v>
      </c>
      <c r="C102" s="205" t="s">
        <v>5</v>
      </c>
      <c r="D102" s="205" t="s">
        <v>5</v>
      </c>
      <c r="E102" s="205" t="s">
        <v>5</v>
      </c>
      <c r="F102" s="205" t="s">
        <v>5</v>
      </c>
      <c r="G102" s="205" t="s">
        <v>5</v>
      </c>
      <c r="H102" s="444"/>
      <c r="I102" s="582" t="s">
        <v>5</v>
      </c>
      <c r="J102" s="582" t="s">
        <v>5</v>
      </c>
      <c r="K102" s="287">
        <v>-0.2</v>
      </c>
      <c r="L102" s="287">
        <v>0.2</v>
      </c>
      <c r="M102" s="287">
        <v>-0.14000000000000001</v>
      </c>
      <c r="N102" s="574">
        <v>0.14000000000000001</v>
      </c>
      <c r="O102" s="597" t="str">
        <f t="shared" si="19"/>
        <v>-</v>
      </c>
      <c r="P102" s="597" t="str">
        <f t="shared" si="20"/>
        <v>-</v>
      </c>
      <c r="Q102" s="598" t="str">
        <f t="shared" si="21"/>
        <v>-</v>
      </c>
      <c r="R102" s="599" t="str">
        <f t="shared" si="22"/>
        <v>-</v>
      </c>
      <c r="S102" s="598" t="str">
        <f t="shared" si="23"/>
        <v>-</v>
      </c>
      <c r="T102" s="600" t="str">
        <f t="shared" si="24"/>
        <v>-</v>
      </c>
      <c r="U102" s="31"/>
      <c r="V102" s="610" t="str">
        <f t="shared" si="25"/>
        <v>-</v>
      </c>
      <c r="W102" s="611" t="str">
        <f t="shared" si="26"/>
        <v>-</v>
      </c>
      <c r="X102" s="612" t="str">
        <f t="shared" si="27"/>
        <v>-</v>
      </c>
      <c r="Y102" s="613" t="str">
        <f t="shared" si="28"/>
        <v>-</v>
      </c>
      <c r="Z102" s="614" t="str">
        <f t="shared" si="29"/>
        <v>-</v>
      </c>
      <c r="AB102" s="201" t="s">
        <v>0</v>
      </c>
    </row>
    <row r="103" spans="1:28" ht="15" customHeight="1" x14ac:dyDescent="0.25">
      <c r="A103" s="5"/>
      <c r="B103" s="303">
        <v>93</v>
      </c>
      <c r="C103" s="205" t="s">
        <v>5</v>
      </c>
      <c r="D103" s="205" t="s">
        <v>5</v>
      </c>
      <c r="E103" s="205" t="s">
        <v>5</v>
      </c>
      <c r="F103" s="205" t="s">
        <v>5</v>
      </c>
      <c r="G103" s="205" t="s">
        <v>5</v>
      </c>
      <c r="H103" s="442"/>
      <c r="I103" s="582" t="s">
        <v>5</v>
      </c>
      <c r="J103" s="582" t="s">
        <v>5</v>
      </c>
      <c r="K103" s="287">
        <v>-0.2</v>
      </c>
      <c r="L103" s="287">
        <v>0.2</v>
      </c>
      <c r="M103" s="287">
        <v>-0.14000000000000001</v>
      </c>
      <c r="N103" s="574">
        <v>0.14000000000000001</v>
      </c>
      <c r="O103" s="597" t="str">
        <f t="shared" si="19"/>
        <v>-</v>
      </c>
      <c r="P103" s="597" t="str">
        <f t="shared" si="20"/>
        <v>-</v>
      </c>
      <c r="Q103" s="598" t="str">
        <f t="shared" si="21"/>
        <v>-</v>
      </c>
      <c r="R103" s="599" t="str">
        <f t="shared" si="22"/>
        <v>-</v>
      </c>
      <c r="S103" s="598" t="str">
        <f t="shared" si="23"/>
        <v>-</v>
      </c>
      <c r="T103" s="600" t="str">
        <f t="shared" si="24"/>
        <v>-</v>
      </c>
      <c r="U103" s="31"/>
      <c r="V103" s="610" t="str">
        <f t="shared" si="25"/>
        <v>-</v>
      </c>
      <c r="W103" s="611" t="str">
        <f t="shared" si="26"/>
        <v>-</v>
      </c>
      <c r="X103" s="612" t="str">
        <f t="shared" si="27"/>
        <v>-</v>
      </c>
      <c r="Y103" s="613" t="str">
        <f t="shared" si="28"/>
        <v>-</v>
      </c>
      <c r="Z103" s="614" t="str">
        <f t="shared" si="29"/>
        <v>-</v>
      </c>
      <c r="AB103" s="201" t="s">
        <v>0</v>
      </c>
    </row>
    <row r="104" spans="1:28" ht="15" customHeight="1" x14ac:dyDescent="0.25">
      <c r="A104" s="5"/>
      <c r="B104" s="38">
        <v>94</v>
      </c>
      <c r="C104" s="205" t="s">
        <v>5</v>
      </c>
      <c r="D104" s="205" t="s">
        <v>5</v>
      </c>
      <c r="E104" s="205" t="s">
        <v>5</v>
      </c>
      <c r="F104" s="205" t="s">
        <v>5</v>
      </c>
      <c r="G104" s="205" t="s">
        <v>5</v>
      </c>
      <c r="H104" s="442"/>
      <c r="I104" s="582" t="s">
        <v>5</v>
      </c>
      <c r="J104" s="582" t="s">
        <v>5</v>
      </c>
      <c r="K104" s="287">
        <v>-0.2</v>
      </c>
      <c r="L104" s="287">
        <v>0.2</v>
      </c>
      <c r="M104" s="287">
        <v>-0.14000000000000001</v>
      </c>
      <c r="N104" s="574">
        <v>0.14000000000000001</v>
      </c>
      <c r="O104" s="597" t="str">
        <f t="shared" si="19"/>
        <v>-</v>
      </c>
      <c r="P104" s="597" t="str">
        <f t="shared" si="20"/>
        <v>-</v>
      </c>
      <c r="Q104" s="598" t="str">
        <f t="shared" si="21"/>
        <v>-</v>
      </c>
      <c r="R104" s="599" t="str">
        <f t="shared" si="22"/>
        <v>-</v>
      </c>
      <c r="S104" s="598" t="str">
        <f t="shared" si="23"/>
        <v>-</v>
      </c>
      <c r="T104" s="600" t="str">
        <f t="shared" si="24"/>
        <v>-</v>
      </c>
      <c r="U104" s="31"/>
      <c r="V104" s="610" t="str">
        <f t="shared" si="25"/>
        <v>-</v>
      </c>
      <c r="W104" s="611" t="str">
        <f t="shared" si="26"/>
        <v>-</v>
      </c>
      <c r="X104" s="612" t="str">
        <f t="shared" si="27"/>
        <v>-</v>
      </c>
      <c r="Y104" s="613" t="str">
        <f t="shared" si="28"/>
        <v>-</v>
      </c>
      <c r="Z104" s="614" t="str">
        <f t="shared" si="29"/>
        <v>-</v>
      </c>
      <c r="AB104" s="201" t="s">
        <v>0</v>
      </c>
    </row>
    <row r="105" spans="1:28" ht="15" customHeight="1" x14ac:dyDescent="0.25">
      <c r="A105" s="5"/>
      <c r="B105" s="303">
        <v>95</v>
      </c>
      <c r="C105" s="205" t="s">
        <v>5</v>
      </c>
      <c r="D105" s="205" t="s">
        <v>5</v>
      </c>
      <c r="E105" s="205" t="s">
        <v>5</v>
      </c>
      <c r="F105" s="205" t="s">
        <v>5</v>
      </c>
      <c r="G105" s="205" t="s">
        <v>5</v>
      </c>
      <c r="H105" s="442"/>
      <c r="I105" s="582" t="s">
        <v>5</v>
      </c>
      <c r="J105" s="582" t="s">
        <v>5</v>
      </c>
      <c r="K105" s="287">
        <v>-0.2</v>
      </c>
      <c r="L105" s="287">
        <v>0.2</v>
      </c>
      <c r="M105" s="287">
        <v>-0.14000000000000001</v>
      </c>
      <c r="N105" s="574">
        <v>0.14000000000000001</v>
      </c>
      <c r="O105" s="597" t="str">
        <f t="shared" si="19"/>
        <v>-</v>
      </c>
      <c r="P105" s="597" t="str">
        <f t="shared" si="20"/>
        <v>-</v>
      </c>
      <c r="Q105" s="598" t="str">
        <f t="shared" si="21"/>
        <v>-</v>
      </c>
      <c r="R105" s="599" t="str">
        <f t="shared" si="22"/>
        <v>-</v>
      </c>
      <c r="S105" s="598" t="str">
        <f t="shared" si="23"/>
        <v>-</v>
      </c>
      <c r="T105" s="600" t="str">
        <f t="shared" si="24"/>
        <v>-</v>
      </c>
      <c r="U105" s="31"/>
      <c r="V105" s="610" t="str">
        <f t="shared" si="25"/>
        <v>-</v>
      </c>
      <c r="W105" s="611" t="str">
        <f t="shared" si="26"/>
        <v>-</v>
      </c>
      <c r="X105" s="612" t="str">
        <f t="shared" si="27"/>
        <v>-</v>
      </c>
      <c r="Y105" s="613" t="str">
        <f t="shared" si="28"/>
        <v>-</v>
      </c>
      <c r="Z105" s="614" t="str">
        <f t="shared" si="29"/>
        <v>-</v>
      </c>
      <c r="AB105" s="201" t="s">
        <v>0</v>
      </c>
    </row>
    <row r="106" spans="1:28" ht="15" customHeight="1" x14ac:dyDescent="0.25">
      <c r="A106" s="5"/>
      <c r="B106" s="38">
        <v>96</v>
      </c>
      <c r="C106" s="205" t="s">
        <v>5</v>
      </c>
      <c r="D106" s="205" t="s">
        <v>5</v>
      </c>
      <c r="E106" s="205" t="s">
        <v>5</v>
      </c>
      <c r="F106" s="205" t="s">
        <v>5</v>
      </c>
      <c r="G106" s="205" t="s">
        <v>5</v>
      </c>
      <c r="H106" s="442"/>
      <c r="I106" s="582" t="s">
        <v>5</v>
      </c>
      <c r="J106" s="582" t="s">
        <v>5</v>
      </c>
      <c r="K106" s="287">
        <v>-0.2</v>
      </c>
      <c r="L106" s="287">
        <v>0.2</v>
      </c>
      <c r="M106" s="287">
        <v>-0.14000000000000001</v>
      </c>
      <c r="N106" s="574">
        <v>0.14000000000000001</v>
      </c>
      <c r="O106" s="597" t="str">
        <f t="shared" si="19"/>
        <v>-</v>
      </c>
      <c r="P106" s="597" t="str">
        <f t="shared" si="20"/>
        <v>-</v>
      </c>
      <c r="Q106" s="598" t="str">
        <f t="shared" si="21"/>
        <v>-</v>
      </c>
      <c r="R106" s="599" t="str">
        <f t="shared" si="22"/>
        <v>-</v>
      </c>
      <c r="S106" s="598" t="str">
        <f t="shared" si="23"/>
        <v>-</v>
      </c>
      <c r="T106" s="600" t="str">
        <f t="shared" si="24"/>
        <v>-</v>
      </c>
      <c r="U106" s="31"/>
      <c r="V106" s="610" t="str">
        <f t="shared" si="25"/>
        <v>-</v>
      </c>
      <c r="W106" s="611" t="str">
        <f t="shared" si="26"/>
        <v>-</v>
      </c>
      <c r="X106" s="612" t="str">
        <f t="shared" si="27"/>
        <v>-</v>
      </c>
      <c r="Y106" s="613" t="str">
        <f t="shared" si="28"/>
        <v>-</v>
      </c>
      <c r="Z106" s="614" t="str">
        <f t="shared" si="29"/>
        <v>-</v>
      </c>
      <c r="AB106" s="201" t="s">
        <v>0</v>
      </c>
    </row>
    <row r="107" spans="1:28" ht="15" customHeight="1" x14ac:dyDescent="0.25">
      <c r="A107" s="5"/>
      <c r="B107" s="303">
        <v>97</v>
      </c>
      <c r="C107" s="205" t="s">
        <v>5</v>
      </c>
      <c r="D107" s="205" t="s">
        <v>5</v>
      </c>
      <c r="E107" s="205" t="s">
        <v>5</v>
      </c>
      <c r="F107" s="205" t="s">
        <v>5</v>
      </c>
      <c r="G107" s="205" t="s">
        <v>5</v>
      </c>
      <c r="H107" s="442"/>
      <c r="I107" s="582" t="s">
        <v>5</v>
      </c>
      <c r="J107" s="582" t="s">
        <v>5</v>
      </c>
      <c r="K107" s="287">
        <v>-0.2</v>
      </c>
      <c r="L107" s="287">
        <v>0.2</v>
      </c>
      <c r="M107" s="287">
        <v>-0.14000000000000001</v>
      </c>
      <c r="N107" s="574">
        <v>0.14000000000000001</v>
      </c>
      <c r="O107" s="597" t="str">
        <f t="shared" si="19"/>
        <v>-</v>
      </c>
      <c r="P107" s="597" t="str">
        <f t="shared" si="20"/>
        <v>-</v>
      </c>
      <c r="Q107" s="598" t="str">
        <f t="shared" si="21"/>
        <v>-</v>
      </c>
      <c r="R107" s="599" t="str">
        <f t="shared" si="22"/>
        <v>-</v>
      </c>
      <c r="S107" s="598" t="str">
        <f t="shared" si="23"/>
        <v>-</v>
      </c>
      <c r="T107" s="600" t="str">
        <f t="shared" si="24"/>
        <v>-</v>
      </c>
      <c r="U107" s="31"/>
      <c r="V107" s="610" t="str">
        <f t="shared" si="25"/>
        <v>-</v>
      </c>
      <c r="W107" s="611" t="str">
        <f t="shared" si="26"/>
        <v>-</v>
      </c>
      <c r="X107" s="612" t="str">
        <f t="shared" si="27"/>
        <v>-</v>
      </c>
      <c r="Y107" s="613" t="str">
        <f t="shared" si="28"/>
        <v>-</v>
      </c>
      <c r="Z107" s="614" t="str">
        <f t="shared" si="29"/>
        <v>-</v>
      </c>
      <c r="AB107" s="201" t="s">
        <v>0</v>
      </c>
    </row>
    <row r="108" spans="1:28" ht="15" customHeight="1" x14ac:dyDescent="0.25">
      <c r="A108" s="5"/>
      <c r="B108" s="38">
        <v>98</v>
      </c>
      <c r="C108" s="205" t="s">
        <v>5</v>
      </c>
      <c r="D108" s="205" t="s">
        <v>5</v>
      </c>
      <c r="E108" s="205" t="s">
        <v>5</v>
      </c>
      <c r="F108" s="205" t="s">
        <v>5</v>
      </c>
      <c r="G108" s="205" t="s">
        <v>5</v>
      </c>
      <c r="H108" s="442"/>
      <c r="I108" s="582" t="s">
        <v>5</v>
      </c>
      <c r="J108" s="582" t="s">
        <v>5</v>
      </c>
      <c r="K108" s="287">
        <v>-0.2</v>
      </c>
      <c r="L108" s="287">
        <v>0.2</v>
      </c>
      <c r="M108" s="287">
        <v>-0.14000000000000001</v>
      </c>
      <c r="N108" s="574">
        <v>0.14000000000000001</v>
      </c>
      <c r="O108" s="597" t="str">
        <f t="shared" si="19"/>
        <v>-</v>
      </c>
      <c r="P108" s="597" t="str">
        <f t="shared" si="20"/>
        <v>-</v>
      </c>
      <c r="Q108" s="598" t="str">
        <f t="shared" si="21"/>
        <v>-</v>
      </c>
      <c r="R108" s="599" t="str">
        <f t="shared" si="22"/>
        <v>-</v>
      </c>
      <c r="S108" s="598" t="str">
        <f t="shared" si="23"/>
        <v>-</v>
      </c>
      <c r="T108" s="600" t="str">
        <f t="shared" si="24"/>
        <v>-</v>
      </c>
      <c r="U108" s="31"/>
      <c r="V108" s="610" t="str">
        <f t="shared" si="25"/>
        <v>-</v>
      </c>
      <c r="W108" s="611" t="str">
        <f t="shared" si="26"/>
        <v>-</v>
      </c>
      <c r="X108" s="612" t="str">
        <f t="shared" si="27"/>
        <v>-</v>
      </c>
      <c r="Y108" s="613" t="str">
        <f t="shared" si="28"/>
        <v>-</v>
      </c>
      <c r="Z108" s="614" t="str">
        <f t="shared" si="29"/>
        <v>-</v>
      </c>
      <c r="AB108" s="201" t="s">
        <v>0</v>
      </c>
    </row>
    <row r="109" spans="1:28" ht="15" customHeight="1" x14ac:dyDescent="0.25">
      <c r="A109" s="5"/>
      <c r="B109" s="303">
        <v>99</v>
      </c>
      <c r="C109" s="205" t="s">
        <v>5</v>
      </c>
      <c r="D109" s="205" t="s">
        <v>5</v>
      </c>
      <c r="E109" s="205" t="s">
        <v>5</v>
      </c>
      <c r="F109" s="205" t="s">
        <v>5</v>
      </c>
      <c r="G109" s="205" t="s">
        <v>5</v>
      </c>
      <c r="H109" s="442"/>
      <c r="I109" s="582" t="s">
        <v>5</v>
      </c>
      <c r="J109" s="582" t="s">
        <v>5</v>
      </c>
      <c r="K109" s="287">
        <v>-0.2</v>
      </c>
      <c r="L109" s="287">
        <v>0.2</v>
      </c>
      <c r="M109" s="287">
        <v>-0.14000000000000001</v>
      </c>
      <c r="N109" s="574">
        <v>0.14000000000000001</v>
      </c>
      <c r="O109" s="597" t="str">
        <f t="shared" si="19"/>
        <v>-</v>
      </c>
      <c r="P109" s="597" t="str">
        <f t="shared" si="20"/>
        <v>-</v>
      </c>
      <c r="Q109" s="598" t="str">
        <f t="shared" si="21"/>
        <v>-</v>
      </c>
      <c r="R109" s="599" t="str">
        <f t="shared" si="22"/>
        <v>-</v>
      </c>
      <c r="S109" s="598" t="str">
        <f t="shared" si="23"/>
        <v>-</v>
      </c>
      <c r="T109" s="600" t="str">
        <f t="shared" si="24"/>
        <v>-</v>
      </c>
      <c r="U109" s="31"/>
      <c r="V109" s="610" t="str">
        <f t="shared" si="25"/>
        <v>-</v>
      </c>
      <c r="W109" s="611" t="str">
        <f t="shared" si="26"/>
        <v>-</v>
      </c>
      <c r="X109" s="612" t="str">
        <f t="shared" si="27"/>
        <v>-</v>
      </c>
      <c r="Y109" s="613" t="str">
        <f t="shared" si="28"/>
        <v>-</v>
      </c>
      <c r="Z109" s="614" t="str">
        <f t="shared" si="29"/>
        <v>-</v>
      </c>
      <c r="AB109" s="201" t="s">
        <v>0</v>
      </c>
    </row>
    <row r="110" spans="1:28" ht="15" customHeight="1" x14ac:dyDescent="0.25">
      <c r="A110" s="5"/>
      <c r="B110" s="38">
        <v>100</v>
      </c>
      <c r="C110" s="205" t="s">
        <v>5</v>
      </c>
      <c r="D110" s="205" t="s">
        <v>5</v>
      </c>
      <c r="E110" s="205" t="s">
        <v>5</v>
      </c>
      <c r="F110" s="205" t="s">
        <v>5</v>
      </c>
      <c r="G110" s="205" t="s">
        <v>5</v>
      </c>
      <c r="H110" s="442"/>
      <c r="I110" s="582" t="s">
        <v>5</v>
      </c>
      <c r="J110" s="582" t="s">
        <v>5</v>
      </c>
      <c r="K110" s="287">
        <v>-0.2</v>
      </c>
      <c r="L110" s="287">
        <v>0.2</v>
      </c>
      <c r="M110" s="287">
        <v>-0.14000000000000001</v>
      </c>
      <c r="N110" s="574">
        <v>0.14000000000000001</v>
      </c>
      <c r="O110" s="597" t="str">
        <f t="shared" si="19"/>
        <v>-</v>
      </c>
      <c r="P110" s="597" t="str">
        <f t="shared" si="20"/>
        <v>-</v>
      </c>
      <c r="Q110" s="598" t="str">
        <f t="shared" si="21"/>
        <v>-</v>
      </c>
      <c r="R110" s="599" t="str">
        <f t="shared" si="22"/>
        <v>-</v>
      </c>
      <c r="S110" s="598" t="str">
        <f t="shared" si="23"/>
        <v>-</v>
      </c>
      <c r="T110" s="600" t="str">
        <f t="shared" si="24"/>
        <v>-</v>
      </c>
      <c r="U110" s="31"/>
      <c r="V110" s="610" t="str">
        <f t="shared" si="25"/>
        <v>-</v>
      </c>
      <c r="W110" s="611" t="str">
        <f t="shared" si="26"/>
        <v>-</v>
      </c>
      <c r="X110" s="612" t="str">
        <f t="shared" si="27"/>
        <v>-</v>
      </c>
      <c r="Y110" s="613" t="str">
        <f t="shared" si="28"/>
        <v>-</v>
      </c>
      <c r="Z110" s="614" t="str">
        <f t="shared" si="29"/>
        <v>-</v>
      </c>
      <c r="AB110" s="201" t="s">
        <v>0</v>
      </c>
    </row>
    <row r="111" spans="1:28" ht="15" customHeight="1" x14ac:dyDescent="0.25">
      <c r="A111" s="5"/>
      <c r="B111" s="303">
        <v>101</v>
      </c>
      <c r="C111" s="205" t="s">
        <v>5</v>
      </c>
      <c r="D111" s="205" t="s">
        <v>5</v>
      </c>
      <c r="E111" s="205" t="s">
        <v>5</v>
      </c>
      <c r="F111" s="205" t="s">
        <v>5</v>
      </c>
      <c r="G111" s="205" t="s">
        <v>5</v>
      </c>
      <c r="H111" s="442"/>
      <c r="I111" s="582" t="s">
        <v>5</v>
      </c>
      <c r="J111" s="582" t="s">
        <v>5</v>
      </c>
      <c r="K111" s="287">
        <v>-0.2</v>
      </c>
      <c r="L111" s="287">
        <v>0.2</v>
      </c>
      <c r="M111" s="287">
        <v>-0.14000000000000001</v>
      </c>
      <c r="N111" s="574">
        <v>0.14000000000000001</v>
      </c>
      <c r="O111" s="597" t="str">
        <f t="shared" si="19"/>
        <v>-</v>
      </c>
      <c r="P111" s="597" t="str">
        <f t="shared" si="20"/>
        <v>-</v>
      </c>
      <c r="Q111" s="598" t="str">
        <f t="shared" si="21"/>
        <v>-</v>
      </c>
      <c r="R111" s="599" t="str">
        <f t="shared" si="22"/>
        <v>-</v>
      </c>
      <c r="S111" s="598" t="str">
        <f t="shared" si="23"/>
        <v>-</v>
      </c>
      <c r="T111" s="600" t="str">
        <f t="shared" si="24"/>
        <v>-</v>
      </c>
      <c r="U111" s="31"/>
      <c r="V111" s="610" t="str">
        <f t="shared" si="25"/>
        <v>-</v>
      </c>
      <c r="W111" s="611" t="str">
        <f t="shared" si="26"/>
        <v>-</v>
      </c>
      <c r="X111" s="612" t="str">
        <f t="shared" si="27"/>
        <v>-</v>
      </c>
      <c r="Y111" s="613" t="str">
        <f t="shared" si="28"/>
        <v>-</v>
      </c>
      <c r="Z111" s="614" t="str">
        <f t="shared" si="29"/>
        <v>-</v>
      </c>
      <c r="AB111" s="201" t="s">
        <v>0</v>
      </c>
    </row>
    <row r="112" spans="1:28" ht="15" customHeight="1" x14ac:dyDescent="0.25">
      <c r="A112" s="5"/>
      <c r="B112" s="38">
        <v>102</v>
      </c>
      <c r="C112" s="205" t="s">
        <v>5</v>
      </c>
      <c r="D112" s="205" t="s">
        <v>5</v>
      </c>
      <c r="E112" s="205" t="s">
        <v>5</v>
      </c>
      <c r="F112" s="205" t="s">
        <v>5</v>
      </c>
      <c r="G112" s="205" t="s">
        <v>5</v>
      </c>
      <c r="H112" s="442"/>
      <c r="I112" s="582" t="s">
        <v>5</v>
      </c>
      <c r="J112" s="582" t="s">
        <v>5</v>
      </c>
      <c r="K112" s="287">
        <v>-0.2</v>
      </c>
      <c r="L112" s="287">
        <v>0.2</v>
      </c>
      <c r="M112" s="287">
        <v>-0.14000000000000001</v>
      </c>
      <c r="N112" s="574">
        <v>0.14000000000000001</v>
      </c>
      <c r="O112" s="597" t="str">
        <f t="shared" si="19"/>
        <v>-</v>
      </c>
      <c r="P112" s="597" t="str">
        <f t="shared" si="20"/>
        <v>-</v>
      </c>
      <c r="Q112" s="598" t="str">
        <f t="shared" si="21"/>
        <v>-</v>
      </c>
      <c r="R112" s="599" t="str">
        <f t="shared" si="22"/>
        <v>-</v>
      </c>
      <c r="S112" s="598" t="str">
        <f t="shared" si="23"/>
        <v>-</v>
      </c>
      <c r="T112" s="600" t="str">
        <f t="shared" si="24"/>
        <v>-</v>
      </c>
      <c r="U112" s="31"/>
      <c r="V112" s="610" t="str">
        <f t="shared" si="25"/>
        <v>-</v>
      </c>
      <c r="W112" s="611" t="str">
        <f t="shared" si="26"/>
        <v>-</v>
      </c>
      <c r="X112" s="612" t="str">
        <f t="shared" si="27"/>
        <v>-</v>
      </c>
      <c r="Y112" s="613" t="str">
        <f t="shared" si="28"/>
        <v>-</v>
      </c>
      <c r="Z112" s="614" t="str">
        <f t="shared" si="29"/>
        <v>-</v>
      </c>
      <c r="AB112" s="201" t="s">
        <v>0</v>
      </c>
    </row>
    <row r="113" spans="1:28" ht="15" customHeight="1" x14ac:dyDescent="0.25">
      <c r="A113" s="5"/>
      <c r="B113" s="303">
        <v>103</v>
      </c>
      <c r="C113" s="205" t="s">
        <v>5</v>
      </c>
      <c r="D113" s="205" t="s">
        <v>5</v>
      </c>
      <c r="E113" s="205" t="s">
        <v>5</v>
      </c>
      <c r="F113" s="205" t="s">
        <v>5</v>
      </c>
      <c r="G113" s="205" t="s">
        <v>5</v>
      </c>
      <c r="H113" s="442"/>
      <c r="I113" s="582" t="s">
        <v>5</v>
      </c>
      <c r="J113" s="582" t="s">
        <v>5</v>
      </c>
      <c r="K113" s="287">
        <v>-0.2</v>
      </c>
      <c r="L113" s="287">
        <v>0.2</v>
      </c>
      <c r="M113" s="287">
        <v>-0.14000000000000001</v>
      </c>
      <c r="N113" s="574">
        <v>0.14000000000000001</v>
      </c>
      <c r="O113" s="597" t="str">
        <f t="shared" si="19"/>
        <v>-</v>
      </c>
      <c r="P113" s="597" t="str">
        <f t="shared" si="20"/>
        <v>-</v>
      </c>
      <c r="Q113" s="598" t="str">
        <f t="shared" si="21"/>
        <v>-</v>
      </c>
      <c r="R113" s="599" t="str">
        <f t="shared" si="22"/>
        <v>-</v>
      </c>
      <c r="S113" s="598" t="str">
        <f t="shared" si="23"/>
        <v>-</v>
      </c>
      <c r="T113" s="600" t="str">
        <f t="shared" si="24"/>
        <v>-</v>
      </c>
      <c r="U113" s="31"/>
      <c r="V113" s="610" t="str">
        <f t="shared" si="25"/>
        <v>-</v>
      </c>
      <c r="W113" s="611" t="str">
        <f t="shared" si="26"/>
        <v>-</v>
      </c>
      <c r="X113" s="612" t="str">
        <f t="shared" si="27"/>
        <v>-</v>
      </c>
      <c r="Y113" s="613" t="str">
        <f t="shared" si="28"/>
        <v>-</v>
      </c>
      <c r="Z113" s="614" t="str">
        <f t="shared" si="29"/>
        <v>-</v>
      </c>
      <c r="AB113" s="201" t="s">
        <v>0</v>
      </c>
    </row>
    <row r="114" spans="1:28" ht="15" customHeight="1" x14ac:dyDescent="0.25">
      <c r="A114" s="5"/>
      <c r="B114" s="38">
        <v>104</v>
      </c>
      <c r="C114" s="205" t="s">
        <v>5</v>
      </c>
      <c r="D114" s="205" t="s">
        <v>5</v>
      </c>
      <c r="E114" s="205" t="s">
        <v>5</v>
      </c>
      <c r="F114" s="205" t="s">
        <v>5</v>
      </c>
      <c r="G114" s="205" t="s">
        <v>5</v>
      </c>
      <c r="H114" s="442"/>
      <c r="I114" s="582" t="s">
        <v>5</v>
      </c>
      <c r="J114" s="582" t="s">
        <v>5</v>
      </c>
      <c r="K114" s="287">
        <v>-0.2</v>
      </c>
      <c r="L114" s="287">
        <v>0.2</v>
      </c>
      <c r="M114" s="287">
        <v>-0.14000000000000001</v>
      </c>
      <c r="N114" s="574">
        <v>0.14000000000000001</v>
      </c>
      <c r="O114" s="597" t="str">
        <f t="shared" si="19"/>
        <v>-</v>
      </c>
      <c r="P114" s="597" t="str">
        <f t="shared" si="20"/>
        <v>-</v>
      </c>
      <c r="Q114" s="598" t="str">
        <f t="shared" si="21"/>
        <v>-</v>
      </c>
      <c r="R114" s="599" t="str">
        <f t="shared" si="22"/>
        <v>-</v>
      </c>
      <c r="S114" s="598" t="str">
        <f t="shared" si="23"/>
        <v>-</v>
      </c>
      <c r="T114" s="600" t="str">
        <f t="shared" si="24"/>
        <v>-</v>
      </c>
      <c r="U114" s="31"/>
      <c r="V114" s="610" t="str">
        <f t="shared" si="25"/>
        <v>-</v>
      </c>
      <c r="W114" s="611" t="str">
        <f t="shared" si="26"/>
        <v>-</v>
      </c>
      <c r="X114" s="612" t="str">
        <f t="shared" si="27"/>
        <v>-</v>
      </c>
      <c r="Y114" s="613" t="str">
        <f t="shared" si="28"/>
        <v>-</v>
      </c>
      <c r="Z114" s="614" t="str">
        <f t="shared" si="29"/>
        <v>-</v>
      </c>
      <c r="AB114" s="201" t="s">
        <v>0</v>
      </c>
    </row>
    <row r="115" spans="1:28" ht="15" customHeight="1" x14ac:dyDescent="0.25">
      <c r="A115" s="5"/>
      <c r="B115" s="303">
        <v>105</v>
      </c>
      <c r="C115" s="205" t="s">
        <v>5</v>
      </c>
      <c r="D115" s="205" t="s">
        <v>5</v>
      </c>
      <c r="E115" s="205" t="s">
        <v>5</v>
      </c>
      <c r="F115" s="205" t="s">
        <v>5</v>
      </c>
      <c r="G115" s="205" t="s">
        <v>5</v>
      </c>
      <c r="H115" s="442"/>
      <c r="I115" s="582" t="s">
        <v>5</v>
      </c>
      <c r="J115" s="582" t="s">
        <v>5</v>
      </c>
      <c r="K115" s="287">
        <v>-0.2</v>
      </c>
      <c r="L115" s="287">
        <v>0.2</v>
      </c>
      <c r="M115" s="287">
        <v>-0.14000000000000001</v>
      </c>
      <c r="N115" s="574">
        <v>0.14000000000000001</v>
      </c>
      <c r="O115" s="597" t="str">
        <f t="shared" si="19"/>
        <v>-</v>
      </c>
      <c r="P115" s="597" t="str">
        <f t="shared" si="20"/>
        <v>-</v>
      </c>
      <c r="Q115" s="598" t="str">
        <f t="shared" si="21"/>
        <v>-</v>
      </c>
      <c r="R115" s="599" t="str">
        <f t="shared" si="22"/>
        <v>-</v>
      </c>
      <c r="S115" s="598" t="str">
        <f t="shared" si="23"/>
        <v>-</v>
      </c>
      <c r="T115" s="600" t="str">
        <f t="shared" si="24"/>
        <v>-</v>
      </c>
      <c r="U115" s="31"/>
      <c r="V115" s="610" t="str">
        <f t="shared" si="25"/>
        <v>-</v>
      </c>
      <c r="W115" s="611" t="str">
        <f t="shared" si="26"/>
        <v>-</v>
      </c>
      <c r="X115" s="612" t="str">
        <f t="shared" si="27"/>
        <v>-</v>
      </c>
      <c r="Y115" s="613" t="str">
        <f t="shared" si="28"/>
        <v>-</v>
      </c>
      <c r="Z115" s="614" t="str">
        <f t="shared" si="29"/>
        <v>-</v>
      </c>
      <c r="AB115" s="201" t="s">
        <v>0</v>
      </c>
    </row>
    <row r="116" spans="1:28" ht="15" customHeight="1" x14ac:dyDescent="0.25">
      <c r="A116" s="5"/>
      <c r="B116" s="38">
        <v>106</v>
      </c>
      <c r="C116" s="205" t="s">
        <v>5</v>
      </c>
      <c r="D116" s="205" t="s">
        <v>5</v>
      </c>
      <c r="E116" s="205" t="s">
        <v>5</v>
      </c>
      <c r="F116" s="205" t="s">
        <v>5</v>
      </c>
      <c r="G116" s="205" t="s">
        <v>5</v>
      </c>
      <c r="H116" s="442"/>
      <c r="I116" s="582" t="s">
        <v>5</v>
      </c>
      <c r="J116" s="582" t="s">
        <v>5</v>
      </c>
      <c r="K116" s="287">
        <v>-0.2</v>
      </c>
      <c r="L116" s="287">
        <v>0.2</v>
      </c>
      <c r="M116" s="287">
        <v>-0.14000000000000001</v>
      </c>
      <c r="N116" s="574">
        <v>0.14000000000000001</v>
      </c>
      <c r="O116" s="597" t="str">
        <f t="shared" si="19"/>
        <v>-</v>
      </c>
      <c r="P116" s="597" t="str">
        <f t="shared" si="20"/>
        <v>-</v>
      </c>
      <c r="Q116" s="598" t="str">
        <f t="shared" si="21"/>
        <v>-</v>
      </c>
      <c r="R116" s="599" t="str">
        <f t="shared" si="22"/>
        <v>-</v>
      </c>
      <c r="S116" s="598" t="str">
        <f t="shared" si="23"/>
        <v>-</v>
      </c>
      <c r="T116" s="600" t="str">
        <f t="shared" si="24"/>
        <v>-</v>
      </c>
      <c r="U116" s="31"/>
      <c r="V116" s="610" t="str">
        <f t="shared" si="25"/>
        <v>-</v>
      </c>
      <c r="W116" s="611" t="str">
        <f t="shared" si="26"/>
        <v>-</v>
      </c>
      <c r="X116" s="612" t="str">
        <f t="shared" si="27"/>
        <v>-</v>
      </c>
      <c r="Y116" s="613" t="str">
        <f t="shared" si="28"/>
        <v>-</v>
      </c>
      <c r="Z116" s="614" t="str">
        <f t="shared" si="29"/>
        <v>-</v>
      </c>
      <c r="AB116" s="201" t="s">
        <v>0</v>
      </c>
    </row>
    <row r="117" spans="1:28" ht="15" customHeight="1" x14ac:dyDescent="0.25">
      <c r="A117" s="5"/>
      <c r="B117" s="303">
        <v>107</v>
      </c>
      <c r="C117" s="205" t="s">
        <v>5</v>
      </c>
      <c r="D117" s="205" t="s">
        <v>5</v>
      </c>
      <c r="E117" s="205" t="s">
        <v>5</v>
      </c>
      <c r="F117" s="205" t="s">
        <v>5</v>
      </c>
      <c r="G117" s="205" t="s">
        <v>5</v>
      </c>
      <c r="H117" s="442"/>
      <c r="I117" s="582" t="s">
        <v>5</v>
      </c>
      <c r="J117" s="582" t="s">
        <v>5</v>
      </c>
      <c r="K117" s="287">
        <v>-0.2</v>
      </c>
      <c r="L117" s="287">
        <v>0.2</v>
      </c>
      <c r="M117" s="287">
        <v>-0.14000000000000001</v>
      </c>
      <c r="N117" s="574">
        <v>0.14000000000000001</v>
      </c>
      <c r="O117" s="597" t="str">
        <f t="shared" si="19"/>
        <v>-</v>
      </c>
      <c r="P117" s="597" t="str">
        <f t="shared" si="20"/>
        <v>-</v>
      </c>
      <c r="Q117" s="598" t="str">
        <f t="shared" si="21"/>
        <v>-</v>
      </c>
      <c r="R117" s="599" t="str">
        <f t="shared" si="22"/>
        <v>-</v>
      </c>
      <c r="S117" s="598" t="str">
        <f t="shared" si="23"/>
        <v>-</v>
      </c>
      <c r="T117" s="600" t="str">
        <f t="shared" si="24"/>
        <v>-</v>
      </c>
      <c r="U117" s="31"/>
      <c r="V117" s="610" t="str">
        <f t="shared" si="25"/>
        <v>-</v>
      </c>
      <c r="W117" s="611" t="str">
        <f t="shared" si="26"/>
        <v>-</v>
      </c>
      <c r="X117" s="612" t="str">
        <f t="shared" si="27"/>
        <v>-</v>
      </c>
      <c r="Y117" s="613" t="str">
        <f t="shared" si="28"/>
        <v>-</v>
      </c>
      <c r="Z117" s="614" t="str">
        <f t="shared" si="29"/>
        <v>-</v>
      </c>
      <c r="AB117" s="201" t="s">
        <v>0</v>
      </c>
    </row>
    <row r="118" spans="1:28" ht="15" customHeight="1" x14ac:dyDescent="0.25">
      <c r="A118" s="5"/>
      <c r="B118" s="38">
        <v>108</v>
      </c>
      <c r="C118" s="205" t="s">
        <v>5</v>
      </c>
      <c r="D118" s="205" t="s">
        <v>5</v>
      </c>
      <c r="E118" s="205" t="s">
        <v>5</v>
      </c>
      <c r="F118" s="205" t="s">
        <v>5</v>
      </c>
      <c r="G118" s="205" t="s">
        <v>5</v>
      </c>
      <c r="H118" s="442"/>
      <c r="I118" s="582" t="s">
        <v>5</v>
      </c>
      <c r="J118" s="582" t="s">
        <v>5</v>
      </c>
      <c r="K118" s="287">
        <v>-0.2</v>
      </c>
      <c r="L118" s="287">
        <v>0.2</v>
      </c>
      <c r="M118" s="287">
        <v>-0.14000000000000001</v>
      </c>
      <c r="N118" s="574">
        <v>0.14000000000000001</v>
      </c>
      <c r="O118" s="597" t="str">
        <f t="shared" si="19"/>
        <v>-</v>
      </c>
      <c r="P118" s="597" t="str">
        <f t="shared" si="20"/>
        <v>-</v>
      </c>
      <c r="Q118" s="598" t="str">
        <f t="shared" si="21"/>
        <v>-</v>
      </c>
      <c r="R118" s="599" t="str">
        <f t="shared" si="22"/>
        <v>-</v>
      </c>
      <c r="S118" s="598" t="str">
        <f t="shared" si="23"/>
        <v>-</v>
      </c>
      <c r="T118" s="600" t="str">
        <f t="shared" si="24"/>
        <v>-</v>
      </c>
      <c r="U118" s="31"/>
      <c r="V118" s="610" t="str">
        <f t="shared" si="25"/>
        <v>-</v>
      </c>
      <c r="W118" s="611" t="str">
        <f t="shared" si="26"/>
        <v>-</v>
      </c>
      <c r="X118" s="612" t="str">
        <f t="shared" si="27"/>
        <v>-</v>
      </c>
      <c r="Y118" s="613" t="str">
        <f t="shared" si="28"/>
        <v>-</v>
      </c>
      <c r="Z118" s="614" t="str">
        <f t="shared" si="29"/>
        <v>-</v>
      </c>
      <c r="AB118" s="201" t="s">
        <v>0</v>
      </c>
    </row>
    <row r="119" spans="1:28" ht="15" customHeight="1" x14ac:dyDescent="0.25">
      <c r="A119" s="5"/>
      <c r="B119" s="303">
        <v>109</v>
      </c>
      <c r="C119" s="205" t="s">
        <v>5</v>
      </c>
      <c r="D119" s="205" t="s">
        <v>5</v>
      </c>
      <c r="E119" s="205" t="s">
        <v>5</v>
      </c>
      <c r="F119" s="205" t="s">
        <v>5</v>
      </c>
      <c r="G119" s="205" t="s">
        <v>5</v>
      </c>
      <c r="H119" s="442"/>
      <c r="I119" s="582" t="s">
        <v>5</v>
      </c>
      <c r="J119" s="582" t="s">
        <v>5</v>
      </c>
      <c r="K119" s="287">
        <v>-0.2</v>
      </c>
      <c r="L119" s="287">
        <v>0.2</v>
      </c>
      <c r="M119" s="287">
        <v>-0.14000000000000001</v>
      </c>
      <c r="N119" s="574">
        <v>0.14000000000000001</v>
      </c>
      <c r="O119" s="597" t="str">
        <f t="shared" si="19"/>
        <v>-</v>
      </c>
      <c r="P119" s="597" t="str">
        <f t="shared" si="20"/>
        <v>-</v>
      </c>
      <c r="Q119" s="598" t="str">
        <f t="shared" si="21"/>
        <v>-</v>
      </c>
      <c r="R119" s="599" t="str">
        <f t="shared" si="22"/>
        <v>-</v>
      </c>
      <c r="S119" s="598" t="str">
        <f t="shared" si="23"/>
        <v>-</v>
      </c>
      <c r="T119" s="600" t="str">
        <f t="shared" si="24"/>
        <v>-</v>
      </c>
      <c r="U119" s="31"/>
      <c r="V119" s="610" t="str">
        <f t="shared" si="25"/>
        <v>-</v>
      </c>
      <c r="W119" s="611" t="str">
        <f t="shared" si="26"/>
        <v>-</v>
      </c>
      <c r="X119" s="612" t="str">
        <f t="shared" si="27"/>
        <v>-</v>
      </c>
      <c r="Y119" s="613" t="str">
        <f t="shared" si="28"/>
        <v>-</v>
      </c>
      <c r="Z119" s="614" t="str">
        <f t="shared" si="29"/>
        <v>-</v>
      </c>
      <c r="AB119" s="201" t="s">
        <v>0</v>
      </c>
    </row>
    <row r="120" spans="1:28" ht="15" customHeight="1" x14ac:dyDescent="0.25">
      <c r="A120" s="5"/>
      <c r="B120" s="38">
        <v>110</v>
      </c>
      <c r="C120" s="205" t="s">
        <v>5</v>
      </c>
      <c r="D120" s="205" t="s">
        <v>5</v>
      </c>
      <c r="E120" s="205" t="s">
        <v>5</v>
      </c>
      <c r="F120" s="205" t="s">
        <v>5</v>
      </c>
      <c r="G120" s="205" t="s">
        <v>5</v>
      </c>
      <c r="H120" s="442"/>
      <c r="I120" s="582" t="s">
        <v>5</v>
      </c>
      <c r="J120" s="582" t="s">
        <v>5</v>
      </c>
      <c r="K120" s="287">
        <v>-0.2</v>
      </c>
      <c r="L120" s="287">
        <v>0.2</v>
      </c>
      <c r="M120" s="287">
        <v>-0.14000000000000001</v>
      </c>
      <c r="N120" s="574">
        <v>0.14000000000000001</v>
      </c>
      <c r="O120" s="597" t="str">
        <f t="shared" si="19"/>
        <v>-</v>
      </c>
      <c r="P120" s="597" t="str">
        <f t="shared" si="20"/>
        <v>-</v>
      </c>
      <c r="Q120" s="598" t="str">
        <f t="shared" si="21"/>
        <v>-</v>
      </c>
      <c r="R120" s="599" t="str">
        <f t="shared" si="22"/>
        <v>-</v>
      </c>
      <c r="S120" s="598" t="str">
        <f t="shared" si="23"/>
        <v>-</v>
      </c>
      <c r="T120" s="600" t="str">
        <f t="shared" si="24"/>
        <v>-</v>
      </c>
      <c r="U120" s="31"/>
      <c r="V120" s="610" t="str">
        <f t="shared" si="25"/>
        <v>-</v>
      </c>
      <c r="W120" s="611" t="str">
        <f t="shared" si="26"/>
        <v>-</v>
      </c>
      <c r="X120" s="612" t="str">
        <f t="shared" si="27"/>
        <v>-</v>
      </c>
      <c r="Y120" s="613" t="str">
        <f t="shared" si="28"/>
        <v>-</v>
      </c>
      <c r="Z120" s="614" t="str">
        <f t="shared" si="29"/>
        <v>-</v>
      </c>
      <c r="AB120" s="201" t="s">
        <v>0</v>
      </c>
    </row>
    <row r="121" spans="1:28" ht="15" customHeight="1" x14ac:dyDescent="0.25">
      <c r="A121" s="5"/>
      <c r="B121" s="303">
        <v>111</v>
      </c>
      <c r="C121" s="205" t="s">
        <v>5</v>
      </c>
      <c r="D121" s="205" t="s">
        <v>5</v>
      </c>
      <c r="E121" s="205" t="s">
        <v>5</v>
      </c>
      <c r="F121" s="205" t="s">
        <v>5</v>
      </c>
      <c r="G121" s="205" t="s">
        <v>5</v>
      </c>
      <c r="H121" s="442"/>
      <c r="I121" s="582" t="s">
        <v>5</v>
      </c>
      <c r="J121" s="582" t="s">
        <v>5</v>
      </c>
      <c r="K121" s="287">
        <v>-0.2</v>
      </c>
      <c r="L121" s="287">
        <v>0.2</v>
      </c>
      <c r="M121" s="287">
        <v>-0.14000000000000001</v>
      </c>
      <c r="N121" s="574">
        <v>0.14000000000000001</v>
      </c>
      <c r="O121" s="597" t="str">
        <f t="shared" si="19"/>
        <v>-</v>
      </c>
      <c r="P121" s="597" t="str">
        <f t="shared" si="20"/>
        <v>-</v>
      </c>
      <c r="Q121" s="598" t="str">
        <f t="shared" si="21"/>
        <v>-</v>
      </c>
      <c r="R121" s="599" t="str">
        <f t="shared" si="22"/>
        <v>-</v>
      </c>
      <c r="S121" s="598" t="str">
        <f t="shared" si="23"/>
        <v>-</v>
      </c>
      <c r="T121" s="600" t="str">
        <f t="shared" si="24"/>
        <v>-</v>
      </c>
      <c r="U121" s="31"/>
      <c r="V121" s="610" t="str">
        <f t="shared" si="25"/>
        <v>-</v>
      </c>
      <c r="W121" s="611" t="str">
        <f t="shared" si="26"/>
        <v>-</v>
      </c>
      <c r="X121" s="612" t="str">
        <f t="shared" si="27"/>
        <v>-</v>
      </c>
      <c r="Y121" s="613" t="str">
        <f t="shared" si="28"/>
        <v>-</v>
      </c>
      <c r="Z121" s="614" t="str">
        <f t="shared" si="29"/>
        <v>-</v>
      </c>
      <c r="AB121" s="201" t="s">
        <v>0</v>
      </c>
    </row>
    <row r="122" spans="1:28" ht="15" customHeight="1" x14ac:dyDescent="0.25">
      <c r="A122" s="5"/>
      <c r="B122" s="38">
        <v>112</v>
      </c>
      <c r="C122" s="205" t="s">
        <v>5</v>
      </c>
      <c r="D122" s="205" t="s">
        <v>5</v>
      </c>
      <c r="E122" s="205" t="s">
        <v>5</v>
      </c>
      <c r="F122" s="205" t="s">
        <v>5</v>
      </c>
      <c r="G122" s="205" t="s">
        <v>5</v>
      </c>
      <c r="H122" s="442"/>
      <c r="I122" s="582" t="s">
        <v>5</v>
      </c>
      <c r="J122" s="582" t="s">
        <v>5</v>
      </c>
      <c r="K122" s="287">
        <v>-0.2</v>
      </c>
      <c r="L122" s="287">
        <v>0.2</v>
      </c>
      <c r="M122" s="287">
        <v>-0.14000000000000001</v>
      </c>
      <c r="N122" s="574">
        <v>0.14000000000000001</v>
      </c>
      <c r="O122" s="597" t="str">
        <f t="shared" si="19"/>
        <v>-</v>
      </c>
      <c r="P122" s="597" t="str">
        <f t="shared" si="20"/>
        <v>-</v>
      </c>
      <c r="Q122" s="598" t="str">
        <f t="shared" si="21"/>
        <v>-</v>
      </c>
      <c r="R122" s="599" t="str">
        <f t="shared" si="22"/>
        <v>-</v>
      </c>
      <c r="S122" s="598" t="str">
        <f t="shared" si="23"/>
        <v>-</v>
      </c>
      <c r="T122" s="600" t="str">
        <f t="shared" si="24"/>
        <v>-</v>
      </c>
      <c r="U122" s="31"/>
      <c r="V122" s="610" t="str">
        <f t="shared" si="25"/>
        <v>-</v>
      </c>
      <c r="W122" s="611" t="str">
        <f t="shared" si="26"/>
        <v>-</v>
      </c>
      <c r="X122" s="612" t="str">
        <f t="shared" si="27"/>
        <v>-</v>
      </c>
      <c r="Y122" s="613" t="str">
        <f t="shared" si="28"/>
        <v>-</v>
      </c>
      <c r="Z122" s="614" t="str">
        <f t="shared" si="29"/>
        <v>-</v>
      </c>
      <c r="AB122" s="201" t="s">
        <v>0</v>
      </c>
    </row>
    <row r="123" spans="1:28" ht="15" customHeight="1" x14ac:dyDescent="0.25">
      <c r="A123" s="5"/>
      <c r="B123" s="303">
        <v>113</v>
      </c>
      <c r="C123" s="205" t="s">
        <v>5</v>
      </c>
      <c r="D123" s="205" t="s">
        <v>5</v>
      </c>
      <c r="E123" s="205" t="s">
        <v>5</v>
      </c>
      <c r="F123" s="205" t="s">
        <v>5</v>
      </c>
      <c r="G123" s="205" t="s">
        <v>5</v>
      </c>
      <c r="H123" s="442"/>
      <c r="I123" s="582" t="s">
        <v>5</v>
      </c>
      <c r="J123" s="582" t="s">
        <v>5</v>
      </c>
      <c r="K123" s="287">
        <v>-0.2</v>
      </c>
      <c r="L123" s="287">
        <v>0.2</v>
      </c>
      <c r="M123" s="287">
        <v>-0.14000000000000001</v>
      </c>
      <c r="N123" s="574">
        <v>0.14000000000000001</v>
      </c>
      <c r="O123" s="597" t="str">
        <f t="shared" si="19"/>
        <v>-</v>
      </c>
      <c r="P123" s="597" t="str">
        <f t="shared" si="20"/>
        <v>-</v>
      </c>
      <c r="Q123" s="598" t="str">
        <f t="shared" si="21"/>
        <v>-</v>
      </c>
      <c r="R123" s="599" t="str">
        <f t="shared" si="22"/>
        <v>-</v>
      </c>
      <c r="S123" s="598" t="str">
        <f t="shared" si="23"/>
        <v>-</v>
      </c>
      <c r="T123" s="600" t="str">
        <f t="shared" si="24"/>
        <v>-</v>
      </c>
      <c r="U123" s="31"/>
      <c r="V123" s="610" t="str">
        <f t="shared" si="25"/>
        <v>-</v>
      </c>
      <c r="W123" s="611" t="str">
        <f t="shared" si="26"/>
        <v>-</v>
      </c>
      <c r="X123" s="612" t="str">
        <f t="shared" si="27"/>
        <v>-</v>
      </c>
      <c r="Y123" s="613" t="str">
        <f t="shared" si="28"/>
        <v>-</v>
      </c>
      <c r="Z123" s="614" t="str">
        <f t="shared" si="29"/>
        <v>-</v>
      </c>
      <c r="AB123" s="201" t="s">
        <v>0</v>
      </c>
    </row>
    <row r="124" spans="1:28" ht="15" customHeight="1" x14ac:dyDescent="0.25">
      <c r="A124" s="5"/>
      <c r="B124" s="38">
        <v>114</v>
      </c>
      <c r="C124" s="205" t="s">
        <v>5</v>
      </c>
      <c r="D124" s="205" t="s">
        <v>5</v>
      </c>
      <c r="E124" s="205" t="s">
        <v>5</v>
      </c>
      <c r="F124" s="205" t="s">
        <v>5</v>
      </c>
      <c r="G124" s="205" t="s">
        <v>5</v>
      </c>
      <c r="H124" s="442"/>
      <c r="I124" s="582" t="s">
        <v>5</v>
      </c>
      <c r="J124" s="582" t="s">
        <v>5</v>
      </c>
      <c r="K124" s="287">
        <v>-0.2</v>
      </c>
      <c r="L124" s="287">
        <v>0.2</v>
      </c>
      <c r="M124" s="287">
        <v>-0.14000000000000001</v>
      </c>
      <c r="N124" s="574">
        <v>0.14000000000000001</v>
      </c>
      <c r="O124" s="597" t="str">
        <f t="shared" si="19"/>
        <v>-</v>
      </c>
      <c r="P124" s="597" t="str">
        <f t="shared" si="20"/>
        <v>-</v>
      </c>
      <c r="Q124" s="598" t="str">
        <f t="shared" si="21"/>
        <v>-</v>
      </c>
      <c r="R124" s="599" t="str">
        <f t="shared" si="22"/>
        <v>-</v>
      </c>
      <c r="S124" s="598" t="str">
        <f t="shared" si="23"/>
        <v>-</v>
      </c>
      <c r="T124" s="600" t="str">
        <f t="shared" si="24"/>
        <v>-</v>
      </c>
      <c r="U124" s="31"/>
      <c r="V124" s="610" t="str">
        <f t="shared" si="25"/>
        <v>-</v>
      </c>
      <c r="W124" s="611" t="str">
        <f t="shared" si="26"/>
        <v>-</v>
      </c>
      <c r="X124" s="612" t="str">
        <f t="shared" si="27"/>
        <v>-</v>
      </c>
      <c r="Y124" s="613" t="str">
        <f t="shared" si="28"/>
        <v>-</v>
      </c>
      <c r="Z124" s="614" t="str">
        <f t="shared" si="29"/>
        <v>-</v>
      </c>
      <c r="AB124" s="201" t="s">
        <v>0</v>
      </c>
    </row>
    <row r="125" spans="1:28" ht="15" customHeight="1" x14ac:dyDescent="0.25">
      <c r="A125" s="5"/>
      <c r="B125" s="303">
        <v>115</v>
      </c>
      <c r="C125" s="205" t="s">
        <v>5</v>
      </c>
      <c r="D125" s="205" t="s">
        <v>5</v>
      </c>
      <c r="E125" s="205" t="s">
        <v>5</v>
      </c>
      <c r="F125" s="205" t="s">
        <v>5</v>
      </c>
      <c r="G125" s="205" t="s">
        <v>5</v>
      </c>
      <c r="H125" s="442"/>
      <c r="I125" s="582" t="s">
        <v>5</v>
      </c>
      <c r="J125" s="582" t="s">
        <v>5</v>
      </c>
      <c r="K125" s="287">
        <v>-0.2</v>
      </c>
      <c r="L125" s="287">
        <v>0.2</v>
      </c>
      <c r="M125" s="287">
        <v>-0.14000000000000001</v>
      </c>
      <c r="N125" s="574">
        <v>0.14000000000000001</v>
      </c>
      <c r="O125" s="597" t="str">
        <f t="shared" si="19"/>
        <v>-</v>
      </c>
      <c r="P125" s="597" t="str">
        <f t="shared" si="20"/>
        <v>-</v>
      </c>
      <c r="Q125" s="598" t="str">
        <f t="shared" si="21"/>
        <v>-</v>
      </c>
      <c r="R125" s="599" t="str">
        <f t="shared" si="22"/>
        <v>-</v>
      </c>
      <c r="S125" s="598" t="str">
        <f t="shared" si="23"/>
        <v>-</v>
      </c>
      <c r="T125" s="600" t="str">
        <f t="shared" si="24"/>
        <v>-</v>
      </c>
      <c r="U125" s="31"/>
      <c r="V125" s="610" t="str">
        <f t="shared" si="25"/>
        <v>-</v>
      </c>
      <c r="W125" s="611" t="str">
        <f t="shared" si="26"/>
        <v>-</v>
      </c>
      <c r="X125" s="612" t="str">
        <f t="shared" si="27"/>
        <v>-</v>
      </c>
      <c r="Y125" s="613" t="str">
        <f t="shared" si="28"/>
        <v>-</v>
      </c>
      <c r="Z125" s="614" t="str">
        <f t="shared" si="29"/>
        <v>-</v>
      </c>
      <c r="AB125" s="201" t="s">
        <v>0</v>
      </c>
    </row>
    <row r="126" spans="1:28" ht="15" customHeight="1" x14ac:dyDescent="0.25">
      <c r="A126" s="5"/>
      <c r="B126" s="38">
        <v>116</v>
      </c>
      <c r="C126" s="205" t="s">
        <v>5</v>
      </c>
      <c r="D126" s="205" t="s">
        <v>5</v>
      </c>
      <c r="E126" s="205" t="s">
        <v>5</v>
      </c>
      <c r="F126" s="205" t="s">
        <v>5</v>
      </c>
      <c r="G126" s="205" t="s">
        <v>5</v>
      </c>
      <c r="H126" s="442"/>
      <c r="I126" s="582" t="s">
        <v>5</v>
      </c>
      <c r="J126" s="582" t="s">
        <v>5</v>
      </c>
      <c r="K126" s="287">
        <v>-0.2</v>
      </c>
      <c r="L126" s="287">
        <v>0.2</v>
      </c>
      <c r="M126" s="287">
        <v>-0.14000000000000001</v>
      </c>
      <c r="N126" s="574">
        <v>0.14000000000000001</v>
      </c>
      <c r="O126" s="597" t="str">
        <f t="shared" si="19"/>
        <v>-</v>
      </c>
      <c r="P126" s="597" t="str">
        <f t="shared" si="20"/>
        <v>-</v>
      </c>
      <c r="Q126" s="598" t="str">
        <f t="shared" si="21"/>
        <v>-</v>
      </c>
      <c r="R126" s="599" t="str">
        <f t="shared" si="22"/>
        <v>-</v>
      </c>
      <c r="S126" s="598" t="str">
        <f t="shared" si="23"/>
        <v>-</v>
      </c>
      <c r="T126" s="600" t="str">
        <f t="shared" si="24"/>
        <v>-</v>
      </c>
      <c r="U126" s="31"/>
      <c r="V126" s="610" t="str">
        <f t="shared" si="25"/>
        <v>-</v>
      </c>
      <c r="W126" s="611" t="str">
        <f t="shared" si="26"/>
        <v>-</v>
      </c>
      <c r="X126" s="612" t="str">
        <f t="shared" si="27"/>
        <v>-</v>
      </c>
      <c r="Y126" s="613" t="str">
        <f t="shared" si="28"/>
        <v>-</v>
      </c>
      <c r="Z126" s="614" t="str">
        <f t="shared" si="29"/>
        <v>-</v>
      </c>
      <c r="AB126" s="201" t="s">
        <v>0</v>
      </c>
    </row>
    <row r="127" spans="1:28" ht="15" customHeight="1" x14ac:dyDescent="0.25">
      <c r="A127" s="5"/>
      <c r="B127" s="303">
        <v>117</v>
      </c>
      <c r="C127" s="205" t="s">
        <v>5</v>
      </c>
      <c r="D127" s="205" t="s">
        <v>5</v>
      </c>
      <c r="E127" s="205" t="s">
        <v>5</v>
      </c>
      <c r="F127" s="205" t="s">
        <v>5</v>
      </c>
      <c r="G127" s="205" t="s">
        <v>5</v>
      </c>
      <c r="H127" s="442"/>
      <c r="I127" s="582" t="s">
        <v>5</v>
      </c>
      <c r="J127" s="582" t="s">
        <v>5</v>
      </c>
      <c r="K127" s="287">
        <v>-0.2</v>
      </c>
      <c r="L127" s="287">
        <v>0.2</v>
      </c>
      <c r="M127" s="287">
        <v>-0.14000000000000001</v>
      </c>
      <c r="N127" s="574">
        <v>0.14000000000000001</v>
      </c>
      <c r="O127" s="597" t="str">
        <f t="shared" si="19"/>
        <v>-</v>
      </c>
      <c r="P127" s="597" t="str">
        <f t="shared" si="20"/>
        <v>-</v>
      </c>
      <c r="Q127" s="598" t="str">
        <f t="shared" si="21"/>
        <v>-</v>
      </c>
      <c r="R127" s="599" t="str">
        <f t="shared" si="22"/>
        <v>-</v>
      </c>
      <c r="S127" s="598" t="str">
        <f t="shared" si="23"/>
        <v>-</v>
      </c>
      <c r="T127" s="600" t="str">
        <f t="shared" si="24"/>
        <v>-</v>
      </c>
      <c r="U127" s="31"/>
      <c r="V127" s="610" t="str">
        <f t="shared" si="25"/>
        <v>-</v>
      </c>
      <c r="W127" s="611" t="str">
        <f t="shared" si="26"/>
        <v>-</v>
      </c>
      <c r="X127" s="612" t="str">
        <f t="shared" si="27"/>
        <v>-</v>
      </c>
      <c r="Y127" s="613" t="str">
        <f t="shared" si="28"/>
        <v>-</v>
      </c>
      <c r="Z127" s="614" t="str">
        <f t="shared" si="29"/>
        <v>-</v>
      </c>
      <c r="AB127" s="201" t="s">
        <v>0</v>
      </c>
    </row>
    <row r="128" spans="1:28" ht="15" customHeight="1" x14ac:dyDescent="0.25">
      <c r="A128" s="5"/>
      <c r="B128" s="38">
        <v>118</v>
      </c>
      <c r="C128" s="205" t="s">
        <v>5</v>
      </c>
      <c r="D128" s="205" t="s">
        <v>5</v>
      </c>
      <c r="E128" s="205" t="s">
        <v>5</v>
      </c>
      <c r="F128" s="205" t="s">
        <v>5</v>
      </c>
      <c r="G128" s="205" t="s">
        <v>5</v>
      </c>
      <c r="H128" s="442"/>
      <c r="I128" s="582" t="s">
        <v>5</v>
      </c>
      <c r="J128" s="582" t="s">
        <v>5</v>
      </c>
      <c r="K128" s="287">
        <v>-0.2</v>
      </c>
      <c r="L128" s="287">
        <v>0.2</v>
      </c>
      <c r="M128" s="287">
        <v>-0.14000000000000001</v>
      </c>
      <c r="N128" s="574">
        <v>0.14000000000000001</v>
      </c>
      <c r="O128" s="597" t="str">
        <f t="shared" si="19"/>
        <v>-</v>
      </c>
      <c r="P128" s="597" t="str">
        <f t="shared" si="20"/>
        <v>-</v>
      </c>
      <c r="Q128" s="598" t="str">
        <f t="shared" si="21"/>
        <v>-</v>
      </c>
      <c r="R128" s="599" t="str">
        <f t="shared" si="22"/>
        <v>-</v>
      </c>
      <c r="S128" s="598" t="str">
        <f t="shared" si="23"/>
        <v>-</v>
      </c>
      <c r="T128" s="600" t="str">
        <f t="shared" si="24"/>
        <v>-</v>
      </c>
      <c r="U128" s="31"/>
      <c r="V128" s="610" t="str">
        <f t="shared" si="25"/>
        <v>-</v>
      </c>
      <c r="W128" s="611" t="str">
        <f t="shared" si="26"/>
        <v>-</v>
      </c>
      <c r="X128" s="612" t="str">
        <f t="shared" si="27"/>
        <v>-</v>
      </c>
      <c r="Y128" s="613" t="str">
        <f t="shared" si="28"/>
        <v>-</v>
      </c>
      <c r="Z128" s="614" t="str">
        <f t="shared" si="29"/>
        <v>-</v>
      </c>
      <c r="AB128" s="201" t="s">
        <v>0</v>
      </c>
    </row>
    <row r="129" spans="1:28" ht="15" customHeight="1" x14ac:dyDescent="0.25">
      <c r="A129" s="5"/>
      <c r="B129" s="303">
        <v>119</v>
      </c>
      <c r="C129" s="205" t="s">
        <v>5</v>
      </c>
      <c r="D129" s="205" t="s">
        <v>5</v>
      </c>
      <c r="E129" s="205" t="s">
        <v>5</v>
      </c>
      <c r="F129" s="205" t="s">
        <v>5</v>
      </c>
      <c r="G129" s="205" t="s">
        <v>5</v>
      </c>
      <c r="H129" s="442"/>
      <c r="I129" s="582" t="s">
        <v>5</v>
      </c>
      <c r="J129" s="582" t="s">
        <v>5</v>
      </c>
      <c r="K129" s="287">
        <v>-0.2</v>
      </c>
      <c r="L129" s="287">
        <v>0.2</v>
      </c>
      <c r="M129" s="287">
        <v>-0.14000000000000001</v>
      </c>
      <c r="N129" s="574">
        <v>0.14000000000000001</v>
      </c>
      <c r="O129" s="597" t="str">
        <f t="shared" si="19"/>
        <v>-</v>
      </c>
      <c r="P129" s="597" t="str">
        <f t="shared" si="20"/>
        <v>-</v>
      </c>
      <c r="Q129" s="598" t="str">
        <f t="shared" si="21"/>
        <v>-</v>
      </c>
      <c r="R129" s="599" t="str">
        <f t="shared" si="22"/>
        <v>-</v>
      </c>
      <c r="S129" s="598" t="str">
        <f t="shared" si="23"/>
        <v>-</v>
      </c>
      <c r="T129" s="600" t="str">
        <f t="shared" si="24"/>
        <v>-</v>
      </c>
      <c r="U129" s="31"/>
      <c r="V129" s="610" t="str">
        <f t="shared" si="25"/>
        <v>-</v>
      </c>
      <c r="W129" s="611" t="str">
        <f t="shared" si="26"/>
        <v>-</v>
      </c>
      <c r="X129" s="612" t="str">
        <f t="shared" si="27"/>
        <v>-</v>
      </c>
      <c r="Y129" s="613" t="str">
        <f t="shared" si="28"/>
        <v>-</v>
      </c>
      <c r="Z129" s="614" t="str">
        <f t="shared" si="29"/>
        <v>-</v>
      </c>
      <c r="AB129" s="201" t="s">
        <v>0</v>
      </c>
    </row>
    <row r="130" spans="1:28" ht="15" customHeight="1" x14ac:dyDescent="0.25">
      <c r="A130" s="5"/>
      <c r="B130" s="38">
        <v>120</v>
      </c>
      <c r="C130" s="205" t="s">
        <v>5</v>
      </c>
      <c r="D130" s="205" t="s">
        <v>5</v>
      </c>
      <c r="E130" s="205" t="s">
        <v>5</v>
      </c>
      <c r="F130" s="205" t="s">
        <v>5</v>
      </c>
      <c r="G130" s="205" t="s">
        <v>5</v>
      </c>
      <c r="H130" s="442"/>
      <c r="I130" s="582" t="s">
        <v>5</v>
      </c>
      <c r="J130" s="582" t="s">
        <v>5</v>
      </c>
      <c r="K130" s="287">
        <v>-0.2</v>
      </c>
      <c r="L130" s="287">
        <v>0.2</v>
      </c>
      <c r="M130" s="287">
        <v>-0.14000000000000001</v>
      </c>
      <c r="N130" s="574">
        <v>0.14000000000000001</v>
      </c>
      <c r="O130" s="597" t="str">
        <f t="shared" si="19"/>
        <v>-</v>
      </c>
      <c r="P130" s="597" t="str">
        <f t="shared" si="20"/>
        <v>-</v>
      </c>
      <c r="Q130" s="598" t="str">
        <f t="shared" si="21"/>
        <v>-</v>
      </c>
      <c r="R130" s="599" t="str">
        <f t="shared" si="22"/>
        <v>-</v>
      </c>
      <c r="S130" s="598" t="str">
        <f t="shared" si="23"/>
        <v>-</v>
      </c>
      <c r="T130" s="600" t="str">
        <f t="shared" si="24"/>
        <v>-</v>
      </c>
      <c r="U130" s="31"/>
      <c r="V130" s="610" t="str">
        <f t="shared" si="25"/>
        <v>-</v>
      </c>
      <c r="W130" s="611" t="str">
        <f t="shared" si="26"/>
        <v>-</v>
      </c>
      <c r="X130" s="612" t="str">
        <f t="shared" si="27"/>
        <v>-</v>
      </c>
      <c r="Y130" s="613" t="str">
        <f t="shared" si="28"/>
        <v>-</v>
      </c>
      <c r="Z130" s="614" t="str">
        <f t="shared" si="29"/>
        <v>-</v>
      </c>
      <c r="AB130" s="201" t="s">
        <v>0</v>
      </c>
    </row>
    <row r="131" spans="1:28" ht="15" customHeight="1" x14ac:dyDescent="0.25">
      <c r="A131" s="5"/>
      <c r="B131" s="303">
        <v>121</v>
      </c>
      <c r="C131" s="205" t="s">
        <v>5</v>
      </c>
      <c r="D131" s="205" t="s">
        <v>5</v>
      </c>
      <c r="E131" s="205" t="s">
        <v>5</v>
      </c>
      <c r="F131" s="205" t="s">
        <v>5</v>
      </c>
      <c r="G131" s="205" t="s">
        <v>5</v>
      </c>
      <c r="H131" s="442"/>
      <c r="I131" s="582" t="s">
        <v>5</v>
      </c>
      <c r="J131" s="582" t="s">
        <v>5</v>
      </c>
      <c r="K131" s="287">
        <v>-0.2</v>
      </c>
      <c r="L131" s="287">
        <v>0.2</v>
      </c>
      <c r="M131" s="287">
        <v>-0.14000000000000001</v>
      </c>
      <c r="N131" s="574">
        <v>0.14000000000000001</v>
      </c>
      <c r="O131" s="597" t="str">
        <f t="shared" si="19"/>
        <v>-</v>
      </c>
      <c r="P131" s="597" t="str">
        <f t="shared" si="20"/>
        <v>-</v>
      </c>
      <c r="Q131" s="598" t="str">
        <f t="shared" si="21"/>
        <v>-</v>
      </c>
      <c r="R131" s="599" t="str">
        <f t="shared" si="22"/>
        <v>-</v>
      </c>
      <c r="S131" s="598" t="str">
        <f t="shared" si="23"/>
        <v>-</v>
      </c>
      <c r="T131" s="600" t="str">
        <f t="shared" si="24"/>
        <v>-</v>
      </c>
      <c r="U131" s="31"/>
      <c r="V131" s="610" t="str">
        <f t="shared" si="25"/>
        <v>-</v>
      </c>
      <c r="W131" s="611" t="str">
        <f t="shared" si="26"/>
        <v>-</v>
      </c>
      <c r="X131" s="612" t="str">
        <f t="shared" si="27"/>
        <v>-</v>
      </c>
      <c r="Y131" s="613" t="str">
        <f t="shared" si="28"/>
        <v>-</v>
      </c>
      <c r="Z131" s="614" t="str">
        <f t="shared" si="29"/>
        <v>-</v>
      </c>
      <c r="AB131" s="201" t="s">
        <v>0</v>
      </c>
    </row>
    <row r="132" spans="1:28" ht="15" customHeight="1" x14ac:dyDescent="0.25">
      <c r="A132" s="5"/>
      <c r="B132" s="38">
        <v>122</v>
      </c>
      <c r="C132" s="205" t="s">
        <v>5</v>
      </c>
      <c r="D132" s="205" t="s">
        <v>5</v>
      </c>
      <c r="E132" s="205" t="s">
        <v>5</v>
      </c>
      <c r="F132" s="205" t="s">
        <v>5</v>
      </c>
      <c r="G132" s="205" t="s">
        <v>5</v>
      </c>
      <c r="H132" s="442"/>
      <c r="I132" s="582" t="s">
        <v>5</v>
      </c>
      <c r="J132" s="582" t="s">
        <v>5</v>
      </c>
      <c r="K132" s="287">
        <v>-0.2</v>
      </c>
      <c r="L132" s="287">
        <v>0.2</v>
      </c>
      <c r="M132" s="287">
        <v>-0.14000000000000001</v>
      </c>
      <c r="N132" s="574">
        <v>0.14000000000000001</v>
      </c>
      <c r="O132" s="597" t="str">
        <f t="shared" si="19"/>
        <v>-</v>
      </c>
      <c r="P132" s="597" t="str">
        <f t="shared" si="20"/>
        <v>-</v>
      </c>
      <c r="Q132" s="598" t="str">
        <f t="shared" si="21"/>
        <v>-</v>
      </c>
      <c r="R132" s="599" t="str">
        <f t="shared" si="22"/>
        <v>-</v>
      </c>
      <c r="S132" s="598" t="str">
        <f t="shared" si="23"/>
        <v>-</v>
      </c>
      <c r="T132" s="600" t="str">
        <f t="shared" si="24"/>
        <v>-</v>
      </c>
      <c r="U132" s="31"/>
      <c r="V132" s="610" t="str">
        <f t="shared" si="25"/>
        <v>-</v>
      </c>
      <c r="W132" s="611" t="str">
        <f t="shared" si="26"/>
        <v>-</v>
      </c>
      <c r="X132" s="612" t="str">
        <f t="shared" si="27"/>
        <v>-</v>
      </c>
      <c r="Y132" s="613" t="str">
        <f t="shared" si="28"/>
        <v>-</v>
      </c>
      <c r="Z132" s="614" t="str">
        <f t="shared" si="29"/>
        <v>-</v>
      </c>
      <c r="AB132" s="201" t="s">
        <v>0</v>
      </c>
    </row>
    <row r="133" spans="1:28" ht="15" customHeight="1" x14ac:dyDescent="0.25">
      <c r="A133" s="5"/>
      <c r="B133" s="303">
        <v>123</v>
      </c>
      <c r="C133" s="205" t="s">
        <v>5</v>
      </c>
      <c r="D133" s="205" t="s">
        <v>5</v>
      </c>
      <c r="E133" s="205" t="s">
        <v>5</v>
      </c>
      <c r="F133" s="205" t="s">
        <v>5</v>
      </c>
      <c r="G133" s="205" t="s">
        <v>5</v>
      </c>
      <c r="H133" s="442"/>
      <c r="I133" s="582" t="s">
        <v>5</v>
      </c>
      <c r="J133" s="582" t="s">
        <v>5</v>
      </c>
      <c r="K133" s="287">
        <v>-0.2</v>
      </c>
      <c r="L133" s="287">
        <v>0.2</v>
      </c>
      <c r="M133" s="287">
        <v>-0.14000000000000001</v>
      </c>
      <c r="N133" s="574">
        <v>0.14000000000000001</v>
      </c>
      <c r="O133" s="597" t="str">
        <f t="shared" si="19"/>
        <v>-</v>
      </c>
      <c r="P133" s="597" t="str">
        <f t="shared" si="20"/>
        <v>-</v>
      </c>
      <c r="Q133" s="598" t="str">
        <f t="shared" si="21"/>
        <v>-</v>
      </c>
      <c r="R133" s="599" t="str">
        <f t="shared" si="22"/>
        <v>-</v>
      </c>
      <c r="S133" s="598" t="str">
        <f t="shared" si="23"/>
        <v>-</v>
      </c>
      <c r="T133" s="600" t="str">
        <f t="shared" si="24"/>
        <v>-</v>
      </c>
      <c r="U133" s="31"/>
      <c r="V133" s="610" t="str">
        <f t="shared" si="25"/>
        <v>-</v>
      </c>
      <c r="W133" s="611" t="str">
        <f t="shared" si="26"/>
        <v>-</v>
      </c>
      <c r="X133" s="612" t="str">
        <f t="shared" si="27"/>
        <v>-</v>
      </c>
      <c r="Y133" s="613" t="str">
        <f t="shared" si="28"/>
        <v>-</v>
      </c>
      <c r="Z133" s="614" t="str">
        <f t="shared" si="29"/>
        <v>-</v>
      </c>
      <c r="AB133" s="201" t="s">
        <v>0</v>
      </c>
    </row>
    <row r="134" spans="1:28" ht="15" customHeight="1" x14ac:dyDescent="0.25">
      <c r="A134" s="5"/>
      <c r="B134" s="38">
        <v>124</v>
      </c>
      <c r="C134" s="205" t="s">
        <v>5</v>
      </c>
      <c r="D134" s="205" t="s">
        <v>5</v>
      </c>
      <c r="E134" s="205" t="s">
        <v>5</v>
      </c>
      <c r="F134" s="205" t="s">
        <v>5</v>
      </c>
      <c r="G134" s="205" t="s">
        <v>5</v>
      </c>
      <c r="H134" s="442"/>
      <c r="I134" s="582" t="s">
        <v>5</v>
      </c>
      <c r="J134" s="582" t="s">
        <v>5</v>
      </c>
      <c r="K134" s="287">
        <v>-0.2</v>
      </c>
      <c r="L134" s="287">
        <v>0.2</v>
      </c>
      <c r="M134" s="287">
        <v>-0.14000000000000001</v>
      </c>
      <c r="N134" s="574">
        <v>0.14000000000000001</v>
      </c>
      <c r="O134" s="597" t="str">
        <f t="shared" si="19"/>
        <v>-</v>
      </c>
      <c r="P134" s="597" t="str">
        <f t="shared" si="20"/>
        <v>-</v>
      </c>
      <c r="Q134" s="598" t="str">
        <f t="shared" si="21"/>
        <v>-</v>
      </c>
      <c r="R134" s="599" t="str">
        <f t="shared" si="22"/>
        <v>-</v>
      </c>
      <c r="S134" s="598" t="str">
        <f t="shared" si="23"/>
        <v>-</v>
      </c>
      <c r="T134" s="600" t="str">
        <f t="shared" si="24"/>
        <v>-</v>
      </c>
      <c r="U134" s="31"/>
      <c r="V134" s="610" t="str">
        <f t="shared" si="25"/>
        <v>-</v>
      </c>
      <c r="W134" s="611" t="str">
        <f t="shared" si="26"/>
        <v>-</v>
      </c>
      <c r="X134" s="612" t="str">
        <f t="shared" si="27"/>
        <v>-</v>
      </c>
      <c r="Y134" s="613" t="str">
        <f t="shared" si="28"/>
        <v>-</v>
      </c>
      <c r="Z134" s="614" t="str">
        <f t="shared" si="29"/>
        <v>-</v>
      </c>
      <c r="AB134" s="201" t="s">
        <v>0</v>
      </c>
    </row>
    <row r="135" spans="1:28" ht="15" customHeight="1" x14ac:dyDescent="0.25">
      <c r="A135" s="5"/>
      <c r="B135" s="303">
        <v>125</v>
      </c>
      <c r="C135" s="205" t="s">
        <v>5</v>
      </c>
      <c r="D135" s="205" t="s">
        <v>5</v>
      </c>
      <c r="E135" s="205" t="s">
        <v>5</v>
      </c>
      <c r="F135" s="205" t="s">
        <v>5</v>
      </c>
      <c r="G135" s="205" t="s">
        <v>5</v>
      </c>
      <c r="H135" s="442"/>
      <c r="I135" s="582" t="s">
        <v>5</v>
      </c>
      <c r="J135" s="582" t="s">
        <v>5</v>
      </c>
      <c r="K135" s="287">
        <v>-0.2</v>
      </c>
      <c r="L135" s="287">
        <v>0.2</v>
      </c>
      <c r="M135" s="287">
        <v>-0.14000000000000001</v>
      </c>
      <c r="N135" s="574">
        <v>0.14000000000000001</v>
      </c>
      <c r="O135" s="597" t="str">
        <f t="shared" si="19"/>
        <v>-</v>
      </c>
      <c r="P135" s="597" t="str">
        <f t="shared" si="20"/>
        <v>-</v>
      </c>
      <c r="Q135" s="598" t="str">
        <f t="shared" si="21"/>
        <v>-</v>
      </c>
      <c r="R135" s="599" t="str">
        <f t="shared" si="22"/>
        <v>-</v>
      </c>
      <c r="S135" s="598" t="str">
        <f t="shared" si="23"/>
        <v>-</v>
      </c>
      <c r="T135" s="600" t="str">
        <f t="shared" si="24"/>
        <v>-</v>
      </c>
      <c r="U135" s="31"/>
      <c r="V135" s="610" t="str">
        <f t="shared" si="25"/>
        <v>-</v>
      </c>
      <c r="W135" s="611" t="str">
        <f t="shared" si="26"/>
        <v>-</v>
      </c>
      <c r="X135" s="612" t="str">
        <f t="shared" si="27"/>
        <v>-</v>
      </c>
      <c r="Y135" s="613" t="str">
        <f t="shared" si="28"/>
        <v>-</v>
      </c>
      <c r="Z135" s="614" t="str">
        <f t="shared" si="29"/>
        <v>-</v>
      </c>
      <c r="AB135" s="201" t="s">
        <v>0</v>
      </c>
    </row>
    <row r="136" spans="1:28" ht="15" customHeight="1" x14ac:dyDescent="0.25">
      <c r="A136" s="5"/>
      <c r="B136" s="38">
        <v>126</v>
      </c>
      <c r="C136" s="205" t="s">
        <v>5</v>
      </c>
      <c r="D136" s="205" t="s">
        <v>5</v>
      </c>
      <c r="E136" s="205" t="s">
        <v>5</v>
      </c>
      <c r="F136" s="205" t="s">
        <v>5</v>
      </c>
      <c r="G136" s="205" t="s">
        <v>5</v>
      </c>
      <c r="H136" s="442"/>
      <c r="I136" s="582" t="s">
        <v>5</v>
      </c>
      <c r="J136" s="582" t="s">
        <v>5</v>
      </c>
      <c r="K136" s="287">
        <v>-0.2</v>
      </c>
      <c r="L136" s="287">
        <v>0.2</v>
      </c>
      <c r="M136" s="287">
        <v>-0.14000000000000001</v>
      </c>
      <c r="N136" s="574">
        <v>0.14000000000000001</v>
      </c>
      <c r="O136" s="597" t="str">
        <f t="shared" si="19"/>
        <v>-</v>
      </c>
      <c r="P136" s="597" t="str">
        <f t="shared" si="20"/>
        <v>-</v>
      </c>
      <c r="Q136" s="598" t="str">
        <f t="shared" si="21"/>
        <v>-</v>
      </c>
      <c r="R136" s="599" t="str">
        <f t="shared" si="22"/>
        <v>-</v>
      </c>
      <c r="S136" s="598" t="str">
        <f t="shared" si="23"/>
        <v>-</v>
      </c>
      <c r="T136" s="600" t="str">
        <f t="shared" si="24"/>
        <v>-</v>
      </c>
      <c r="U136" s="31"/>
      <c r="V136" s="610" t="str">
        <f t="shared" si="25"/>
        <v>-</v>
      </c>
      <c r="W136" s="611" t="str">
        <f t="shared" si="26"/>
        <v>-</v>
      </c>
      <c r="X136" s="612" t="str">
        <f t="shared" si="27"/>
        <v>-</v>
      </c>
      <c r="Y136" s="613" t="str">
        <f t="shared" si="28"/>
        <v>-</v>
      </c>
      <c r="Z136" s="614" t="str">
        <f t="shared" si="29"/>
        <v>-</v>
      </c>
      <c r="AB136" s="201" t="s">
        <v>0</v>
      </c>
    </row>
    <row r="137" spans="1:28" ht="15" customHeight="1" x14ac:dyDescent="0.25">
      <c r="A137" s="5"/>
      <c r="B137" s="303">
        <v>127</v>
      </c>
      <c r="C137" s="205" t="s">
        <v>5</v>
      </c>
      <c r="D137" s="205" t="s">
        <v>5</v>
      </c>
      <c r="E137" s="205" t="s">
        <v>5</v>
      </c>
      <c r="F137" s="205" t="s">
        <v>5</v>
      </c>
      <c r="G137" s="205" t="s">
        <v>5</v>
      </c>
      <c r="H137" s="442"/>
      <c r="I137" s="582" t="s">
        <v>5</v>
      </c>
      <c r="J137" s="582" t="s">
        <v>5</v>
      </c>
      <c r="K137" s="287">
        <v>-0.2</v>
      </c>
      <c r="L137" s="287">
        <v>0.2</v>
      </c>
      <c r="M137" s="287">
        <v>-0.14000000000000001</v>
      </c>
      <c r="N137" s="574">
        <v>0.14000000000000001</v>
      </c>
      <c r="O137" s="597" t="str">
        <f t="shared" si="19"/>
        <v>-</v>
      </c>
      <c r="P137" s="597" t="str">
        <f t="shared" si="20"/>
        <v>-</v>
      </c>
      <c r="Q137" s="598" t="str">
        <f t="shared" si="21"/>
        <v>-</v>
      </c>
      <c r="R137" s="599" t="str">
        <f t="shared" si="22"/>
        <v>-</v>
      </c>
      <c r="S137" s="598" t="str">
        <f t="shared" si="23"/>
        <v>-</v>
      </c>
      <c r="T137" s="600" t="str">
        <f t="shared" si="24"/>
        <v>-</v>
      </c>
      <c r="U137" s="31"/>
      <c r="V137" s="610" t="str">
        <f t="shared" si="25"/>
        <v>-</v>
      </c>
      <c r="W137" s="611" t="str">
        <f t="shared" si="26"/>
        <v>-</v>
      </c>
      <c r="X137" s="612" t="str">
        <f t="shared" si="27"/>
        <v>-</v>
      </c>
      <c r="Y137" s="613" t="str">
        <f t="shared" si="28"/>
        <v>-</v>
      </c>
      <c r="Z137" s="614" t="str">
        <f t="shared" si="29"/>
        <v>-</v>
      </c>
      <c r="AB137" s="201" t="s">
        <v>0</v>
      </c>
    </row>
    <row r="138" spans="1:28" ht="15" customHeight="1" x14ac:dyDescent="0.25">
      <c r="A138" s="5"/>
      <c r="B138" s="38">
        <v>128</v>
      </c>
      <c r="C138" s="205" t="s">
        <v>5</v>
      </c>
      <c r="D138" s="205" t="s">
        <v>5</v>
      </c>
      <c r="E138" s="205" t="s">
        <v>5</v>
      </c>
      <c r="F138" s="205" t="s">
        <v>5</v>
      </c>
      <c r="G138" s="205" t="s">
        <v>5</v>
      </c>
      <c r="H138" s="442"/>
      <c r="I138" s="582" t="s">
        <v>5</v>
      </c>
      <c r="J138" s="582" t="s">
        <v>5</v>
      </c>
      <c r="K138" s="287">
        <v>-0.2</v>
      </c>
      <c r="L138" s="287">
        <v>0.2</v>
      </c>
      <c r="M138" s="287">
        <v>-0.14000000000000001</v>
      </c>
      <c r="N138" s="574">
        <v>0.14000000000000001</v>
      </c>
      <c r="O138" s="597" t="str">
        <f t="shared" si="19"/>
        <v>-</v>
      </c>
      <c r="P138" s="597" t="str">
        <f t="shared" si="20"/>
        <v>-</v>
      </c>
      <c r="Q138" s="598" t="str">
        <f t="shared" si="21"/>
        <v>-</v>
      </c>
      <c r="R138" s="599" t="str">
        <f t="shared" si="22"/>
        <v>-</v>
      </c>
      <c r="S138" s="598" t="str">
        <f t="shared" si="23"/>
        <v>-</v>
      </c>
      <c r="T138" s="600" t="str">
        <f t="shared" si="24"/>
        <v>-</v>
      </c>
      <c r="U138" s="31"/>
      <c r="V138" s="610" t="str">
        <f t="shared" si="25"/>
        <v>-</v>
      </c>
      <c r="W138" s="611" t="str">
        <f t="shared" si="26"/>
        <v>-</v>
      </c>
      <c r="X138" s="612" t="str">
        <f t="shared" si="27"/>
        <v>-</v>
      </c>
      <c r="Y138" s="613" t="str">
        <f t="shared" si="28"/>
        <v>-</v>
      </c>
      <c r="Z138" s="614" t="str">
        <f t="shared" si="29"/>
        <v>-</v>
      </c>
      <c r="AB138" s="201" t="s">
        <v>0</v>
      </c>
    </row>
    <row r="139" spans="1:28" ht="15" customHeight="1" x14ac:dyDescent="0.25">
      <c r="A139" s="5"/>
      <c r="B139" s="303">
        <v>129</v>
      </c>
      <c r="C139" s="205" t="s">
        <v>5</v>
      </c>
      <c r="D139" s="205" t="s">
        <v>5</v>
      </c>
      <c r="E139" s="205" t="s">
        <v>5</v>
      </c>
      <c r="F139" s="205" t="s">
        <v>5</v>
      </c>
      <c r="G139" s="205" t="s">
        <v>5</v>
      </c>
      <c r="H139" s="442"/>
      <c r="I139" s="582" t="s">
        <v>5</v>
      </c>
      <c r="J139" s="582" t="s">
        <v>5</v>
      </c>
      <c r="K139" s="287">
        <v>-0.2</v>
      </c>
      <c r="L139" s="287">
        <v>0.2</v>
      </c>
      <c r="M139" s="287">
        <v>-0.14000000000000001</v>
      </c>
      <c r="N139" s="574">
        <v>0.14000000000000001</v>
      </c>
      <c r="O139" s="597" t="str">
        <f t="shared" si="19"/>
        <v>-</v>
      </c>
      <c r="P139" s="597" t="str">
        <f t="shared" si="20"/>
        <v>-</v>
      </c>
      <c r="Q139" s="598" t="str">
        <f t="shared" si="21"/>
        <v>-</v>
      </c>
      <c r="R139" s="599" t="str">
        <f t="shared" si="22"/>
        <v>-</v>
      </c>
      <c r="S139" s="598" t="str">
        <f t="shared" si="23"/>
        <v>-</v>
      </c>
      <c r="T139" s="600" t="str">
        <f t="shared" si="24"/>
        <v>-</v>
      </c>
      <c r="U139" s="31"/>
      <c r="V139" s="610" t="str">
        <f t="shared" si="25"/>
        <v>-</v>
      </c>
      <c r="W139" s="611" t="str">
        <f t="shared" si="26"/>
        <v>-</v>
      </c>
      <c r="X139" s="612" t="str">
        <f t="shared" si="27"/>
        <v>-</v>
      </c>
      <c r="Y139" s="613" t="str">
        <f t="shared" si="28"/>
        <v>-</v>
      </c>
      <c r="Z139" s="614" t="str">
        <f t="shared" si="29"/>
        <v>-</v>
      </c>
      <c r="AB139" s="201" t="s">
        <v>0</v>
      </c>
    </row>
    <row r="140" spans="1:28" ht="15" customHeight="1" x14ac:dyDescent="0.25">
      <c r="A140" s="5"/>
      <c r="B140" s="38">
        <v>130</v>
      </c>
      <c r="C140" s="205" t="s">
        <v>5</v>
      </c>
      <c r="D140" s="205" t="s">
        <v>5</v>
      </c>
      <c r="E140" s="205" t="s">
        <v>5</v>
      </c>
      <c r="F140" s="205" t="s">
        <v>5</v>
      </c>
      <c r="G140" s="205" t="s">
        <v>5</v>
      </c>
      <c r="H140" s="442"/>
      <c r="I140" s="582" t="s">
        <v>5</v>
      </c>
      <c r="J140" s="582" t="s">
        <v>5</v>
      </c>
      <c r="K140" s="287">
        <v>-0.2</v>
      </c>
      <c r="L140" s="287">
        <v>0.2</v>
      </c>
      <c r="M140" s="287">
        <v>-0.14000000000000001</v>
      </c>
      <c r="N140" s="574">
        <v>0.14000000000000001</v>
      </c>
      <c r="O140" s="597" t="str">
        <f t="shared" ref="O140:O160" si="30">IF(ISNUMBER(I140),IF(I140&lt;0,I140,I140*(1+K140)),"-")</f>
        <v>-</v>
      </c>
      <c r="P140" s="597" t="str">
        <f t="shared" ref="P140:P160" si="31">IF(ISNUMBER(I140),I140+MAX(0.01,L140*ABS(I140)),"-")</f>
        <v>-</v>
      </c>
      <c r="Q140" s="598" t="str">
        <f t="shared" ref="Q140:Q160" si="32">IF(ISNUMBER(I140),IF(I140&lt;0,I140,I140*(1+M140)),"-")</f>
        <v>-</v>
      </c>
      <c r="R140" s="599" t="str">
        <f t="shared" ref="R140:R160" si="33">IF(ISNUMBER(I140),I140+MAX(0.007,N140*ABS(I140)),"-")</f>
        <v>-</v>
      </c>
      <c r="S140" s="598" t="str">
        <f t="shared" ref="S140:S160" si="34">IF(ISNUMBER(I140),J140+(Q140-I140),"-")</f>
        <v>-</v>
      </c>
      <c r="T140" s="600" t="str">
        <f t="shared" ref="T140:T160" si="35">IF(ISNUMBER(I140),J140+(R140-I140),"-")</f>
        <v>-</v>
      </c>
      <c r="U140" s="31"/>
      <c r="V140" s="610" t="str">
        <f t="shared" ref="V140:V160" si="36">IF(ISNUMBER(I140),(1+I140)^(-$B140),"-")</f>
        <v>-</v>
      </c>
      <c r="W140" s="611" t="str">
        <f t="shared" ref="W140:W160" si="37">IF(ISNUMBER(O140),(1+O140)^(-$B140),"-")</f>
        <v>-</v>
      </c>
      <c r="X140" s="612" t="str">
        <f t="shared" ref="X140:X160" si="38">IF(ISNUMBER(P140),(1+P140)^(-$B140),"-")</f>
        <v>-</v>
      </c>
      <c r="Y140" s="613" t="str">
        <f t="shared" ref="Y140:Y160" si="39">IF(ISNUMBER(Q140),(1+Q140)^(-$B140),"-")</f>
        <v>-</v>
      </c>
      <c r="Z140" s="614" t="str">
        <f t="shared" ref="Z140:Z160" si="40">IF(ISNUMBER(R140),(1+R140)^(-$B140),"-")</f>
        <v>-</v>
      </c>
      <c r="AB140" s="201" t="s">
        <v>0</v>
      </c>
    </row>
    <row r="141" spans="1:28" ht="15" customHeight="1" x14ac:dyDescent="0.25">
      <c r="A141" s="5"/>
      <c r="B141" s="303">
        <v>131</v>
      </c>
      <c r="C141" s="205" t="s">
        <v>5</v>
      </c>
      <c r="D141" s="205" t="s">
        <v>5</v>
      </c>
      <c r="E141" s="205" t="s">
        <v>5</v>
      </c>
      <c r="F141" s="205" t="s">
        <v>5</v>
      </c>
      <c r="G141" s="205" t="s">
        <v>5</v>
      </c>
      <c r="H141" s="442"/>
      <c r="I141" s="582" t="s">
        <v>5</v>
      </c>
      <c r="J141" s="582" t="s">
        <v>5</v>
      </c>
      <c r="K141" s="287">
        <v>-0.2</v>
      </c>
      <c r="L141" s="287">
        <v>0.2</v>
      </c>
      <c r="M141" s="287">
        <v>-0.14000000000000001</v>
      </c>
      <c r="N141" s="574">
        <v>0.14000000000000001</v>
      </c>
      <c r="O141" s="597" t="str">
        <f t="shared" si="30"/>
        <v>-</v>
      </c>
      <c r="P141" s="597" t="str">
        <f t="shared" si="31"/>
        <v>-</v>
      </c>
      <c r="Q141" s="598" t="str">
        <f t="shared" si="32"/>
        <v>-</v>
      </c>
      <c r="R141" s="599" t="str">
        <f t="shared" si="33"/>
        <v>-</v>
      </c>
      <c r="S141" s="598" t="str">
        <f t="shared" si="34"/>
        <v>-</v>
      </c>
      <c r="T141" s="600" t="str">
        <f t="shared" si="35"/>
        <v>-</v>
      </c>
      <c r="U141" s="31"/>
      <c r="V141" s="610" t="str">
        <f t="shared" si="36"/>
        <v>-</v>
      </c>
      <c r="W141" s="611" t="str">
        <f t="shared" si="37"/>
        <v>-</v>
      </c>
      <c r="X141" s="612" t="str">
        <f t="shared" si="38"/>
        <v>-</v>
      </c>
      <c r="Y141" s="613" t="str">
        <f t="shared" si="39"/>
        <v>-</v>
      </c>
      <c r="Z141" s="614" t="str">
        <f t="shared" si="40"/>
        <v>-</v>
      </c>
      <c r="AB141" s="201" t="s">
        <v>0</v>
      </c>
    </row>
    <row r="142" spans="1:28" ht="15" customHeight="1" x14ac:dyDescent="0.25">
      <c r="A142" s="5"/>
      <c r="B142" s="38">
        <v>132</v>
      </c>
      <c r="C142" s="205" t="s">
        <v>5</v>
      </c>
      <c r="D142" s="205" t="s">
        <v>5</v>
      </c>
      <c r="E142" s="205" t="s">
        <v>5</v>
      </c>
      <c r="F142" s="205" t="s">
        <v>5</v>
      </c>
      <c r="G142" s="205" t="s">
        <v>5</v>
      </c>
      <c r="H142" s="442"/>
      <c r="I142" s="582" t="s">
        <v>5</v>
      </c>
      <c r="J142" s="582" t="s">
        <v>5</v>
      </c>
      <c r="K142" s="287">
        <v>-0.2</v>
      </c>
      <c r="L142" s="287">
        <v>0.2</v>
      </c>
      <c r="M142" s="287">
        <v>-0.14000000000000001</v>
      </c>
      <c r="N142" s="574">
        <v>0.14000000000000001</v>
      </c>
      <c r="O142" s="597" t="str">
        <f t="shared" si="30"/>
        <v>-</v>
      </c>
      <c r="P142" s="597" t="str">
        <f t="shared" si="31"/>
        <v>-</v>
      </c>
      <c r="Q142" s="598" t="str">
        <f t="shared" si="32"/>
        <v>-</v>
      </c>
      <c r="R142" s="599" t="str">
        <f t="shared" si="33"/>
        <v>-</v>
      </c>
      <c r="S142" s="598" t="str">
        <f t="shared" si="34"/>
        <v>-</v>
      </c>
      <c r="T142" s="600" t="str">
        <f t="shared" si="35"/>
        <v>-</v>
      </c>
      <c r="U142" s="31"/>
      <c r="V142" s="610" t="str">
        <f t="shared" si="36"/>
        <v>-</v>
      </c>
      <c r="W142" s="611" t="str">
        <f t="shared" si="37"/>
        <v>-</v>
      </c>
      <c r="X142" s="612" t="str">
        <f t="shared" si="38"/>
        <v>-</v>
      </c>
      <c r="Y142" s="613" t="str">
        <f t="shared" si="39"/>
        <v>-</v>
      </c>
      <c r="Z142" s="614" t="str">
        <f t="shared" si="40"/>
        <v>-</v>
      </c>
      <c r="AB142" s="201" t="s">
        <v>0</v>
      </c>
    </row>
    <row r="143" spans="1:28" ht="15" customHeight="1" x14ac:dyDescent="0.25">
      <c r="A143" s="5"/>
      <c r="B143" s="303">
        <v>133</v>
      </c>
      <c r="C143" s="205" t="s">
        <v>5</v>
      </c>
      <c r="D143" s="205" t="s">
        <v>5</v>
      </c>
      <c r="E143" s="205" t="s">
        <v>5</v>
      </c>
      <c r="F143" s="205" t="s">
        <v>5</v>
      </c>
      <c r="G143" s="205" t="s">
        <v>5</v>
      </c>
      <c r="H143" s="442"/>
      <c r="I143" s="582" t="s">
        <v>5</v>
      </c>
      <c r="J143" s="582" t="s">
        <v>5</v>
      </c>
      <c r="K143" s="287">
        <v>-0.2</v>
      </c>
      <c r="L143" s="287">
        <v>0.2</v>
      </c>
      <c r="M143" s="287">
        <v>-0.14000000000000001</v>
      </c>
      <c r="N143" s="574">
        <v>0.14000000000000001</v>
      </c>
      <c r="O143" s="597" t="str">
        <f t="shared" si="30"/>
        <v>-</v>
      </c>
      <c r="P143" s="597" t="str">
        <f t="shared" si="31"/>
        <v>-</v>
      </c>
      <c r="Q143" s="598" t="str">
        <f t="shared" si="32"/>
        <v>-</v>
      </c>
      <c r="R143" s="599" t="str">
        <f t="shared" si="33"/>
        <v>-</v>
      </c>
      <c r="S143" s="598" t="str">
        <f t="shared" si="34"/>
        <v>-</v>
      </c>
      <c r="T143" s="600" t="str">
        <f t="shared" si="35"/>
        <v>-</v>
      </c>
      <c r="U143" s="31"/>
      <c r="V143" s="610" t="str">
        <f t="shared" si="36"/>
        <v>-</v>
      </c>
      <c r="W143" s="611" t="str">
        <f t="shared" si="37"/>
        <v>-</v>
      </c>
      <c r="X143" s="612" t="str">
        <f t="shared" si="38"/>
        <v>-</v>
      </c>
      <c r="Y143" s="613" t="str">
        <f t="shared" si="39"/>
        <v>-</v>
      </c>
      <c r="Z143" s="614" t="str">
        <f t="shared" si="40"/>
        <v>-</v>
      </c>
      <c r="AB143" s="201" t="s">
        <v>0</v>
      </c>
    </row>
    <row r="144" spans="1:28" ht="15" customHeight="1" x14ac:dyDescent="0.25">
      <c r="A144" s="5"/>
      <c r="B144" s="38">
        <v>134</v>
      </c>
      <c r="C144" s="205" t="s">
        <v>5</v>
      </c>
      <c r="D144" s="205" t="s">
        <v>5</v>
      </c>
      <c r="E144" s="205" t="s">
        <v>5</v>
      </c>
      <c r="F144" s="205" t="s">
        <v>5</v>
      </c>
      <c r="G144" s="205" t="s">
        <v>5</v>
      </c>
      <c r="H144" s="442"/>
      <c r="I144" s="582" t="s">
        <v>5</v>
      </c>
      <c r="J144" s="582" t="s">
        <v>5</v>
      </c>
      <c r="K144" s="287">
        <v>-0.2</v>
      </c>
      <c r="L144" s="287">
        <v>0.2</v>
      </c>
      <c r="M144" s="287">
        <v>-0.14000000000000001</v>
      </c>
      <c r="N144" s="574">
        <v>0.14000000000000001</v>
      </c>
      <c r="O144" s="597" t="str">
        <f t="shared" si="30"/>
        <v>-</v>
      </c>
      <c r="P144" s="597" t="str">
        <f t="shared" si="31"/>
        <v>-</v>
      </c>
      <c r="Q144" s="598" t="str">
        <f t="shared" si="32"/>
        <v>-</v>
      </c>
      <c r="R144" s="599" t="str">
        <f t="shared" si="33"/>
        <v>-</v>
      </c>
      <c r="S144" s="598" t="str">
        <f t="shared" si="34"/>
        <v>-</v>
      </c>
      <c r="T144" s="600" t="str">
        <f t="shared" si="35"/>
        <v>-</v>
      </c>
      <c r="U144" s="31"/>
      <c r="V144" s="610" t="str">
        <f t="shared" si="36"/>
        <v>-</v>
      </c>
      <c r="W144" s="611" t="str">
        <f t="shared" si="37"/>
        <v>-</v>
      </c>
      <c r="X144" s="612" t="str">
        <f t="shared" si="38"/>
        <v>-</v>
      </c>
      <c r="Y144" s="613" t="str">
        <f t="shared" si="39"/>
        <v>-</v>
      </c>
      <c r="Z144" s="614" t="str">
        <f t="shared" si="40"/>
        <v>-</v>
      </c>
      <c r="AB144" s="201" t="s">
        <v>0</v>
      </c>
    </row>
    <row r="145" spans="1:28" ht="15" customHeight="1" x14ac:dyDescent="0.25">
      <c r="A145" s="5"/>
      <c r="B145" s="303">
        <v>135</v>
      </c>
      <c r="C145" s="205" t="s">
        <v>5</v>
      </c>
      <c r="D145" s="205" t="s">
        <v>5</v>
      </c>
      <c r="E145" s="205" t="s">
        <v>5</v>
      </c>
      <c r="F145" s="205" t="s">
        <v>5</v>
      </c>
      <c r="G145" s="205" t="s">
        <v>5</v>
      </c>
      <c r="H145" s="442"/>
      <c r="I145" s="582" t="s">
        <v>5</v>
      </c>
      <c r="J145" s="582" t="s">
        <v>5</v>
      </c>
      <c r="K145" s="287">
        <v>-0.2</v>
      </c>
      <c r="L145" s="287">
        <v>0.2</v>
      </c>
      <c r="M145" s="287">
        <v>-0.14000000000000001</v>
      </c>
      <c r="N145" s="574">
        <v>0.14000000000000001</v>
      </c>
      <c r="O145" s="597" t="str">
        <f t="shared" si="30"/>
        <v>-</v>
      </c>
      <c r="P145" s="597" t="str">
        <f t="shared" si="31"/>
        <v>-</v>
      </c>
      <c r="Q145" s="598" t="str">
        <f t="shared" si="32"/>
        <v>-</v>
      </c>
      <c r="R145" s="599" t="str">
        <f t="shared" si="33"/>
        <v>-</v>
      </c>
      <c r="S145" s="598" t="str">
        <f t="shared" si="34"/>
        <v>-</v>
      </c>
      <c r="T145" s="600" t="str">
        <f t="shared" si="35"/>
        <v>-</v>
      </c>
      <c r="U145" s="31"/>
      <c r="V145" s="610" t="str">
        <f t="shared" si="36"/>
        <v>-</v>
      </c>
      <c r="W145" s="611" t="str">
        <f t="shared" si="37"/>
        <v>-</v>
      </c>
      <c r="X145" s="612" t="str">
        <f t="shared" si="38"/>
        <v>-</v>
      </c>
      <c r="Y145" s="613" t="str">
        <f t="shared" si="39"/>
        <v>-</v>
      </c>
      <c r="Z145" s="614" t="str">
        <f t="shared" si="40"/>
        <v>-</v>
      </c>
      <c r="AB145" s="201" t="s">
        <v>0</v>
      </c>
    </row>
    <row r="146" spans="1:28" ht="15" customHeight="1" x14ac:dyDescent="0.25">
      <c r="A146" s="5"/>
      <c r="B146" s="38">
        <v>136</v>
      </c>
      <c r="C146" s="205" t="s">
        <v>5</v>
      </c>
      <c r="D146" s="205" t="s">
        <v>5</v>
      </c>
      <c r="E146" s="205" t="s">
        <v>5</v>
      </c>
      <c r="F146" s="205" t="s">
        <v>5</v>
      </c>
      <c r="G146" s="205" t="s">
        <v>5</v>
      </c>
      <c r="H146" s="442"/>
      <c r="I146" s="582" t="s">
        <v>5</v>
      </c>
      <c r="J146" s="582" t="s">
        <v>5</v>
      </c>
      <c r="K146" s="287">
        <v>-0.2</v>
      </c>
      <c r="L146" s="287">
        <v>0.2</v>
      </c>
      <c r="M146" s="287">
        <v>-0.14000000000000001</v>
      </c>
      <c r="N146" s="574">
        <v>0.14000000000000001</v>
      </c>
      <c r="O146" s="597" t="str">
        <f t="shared" si="30"/>
        <v>-</v>
      </c>
      <c r="P146" s="597" t="str">
        <f t="shared" si="31"/>
        <v>-</v>
      </c>
      <c r="Q146" s="598" t="str">
        <f t="shared" si="32"/>
        <v>-</v>
      </c>
      <c r="R146" s="599" t="str">
        <f t="shared" si="33"/>
        <v>-</v>
      </c>
      <c r="S146" s="598" t="str">
        <f t="shared" si="34"/>
        <v>-</v>
      </c>
      <c r="T146" s="600" t="str">
        <f t="shared" si="35"/>
        <v>-</v>
      </c>
      <c r="U146" s="31"/>
      <c r="V146" s="610" t="str">
        <f t="shared" si="36"/>
        <v>-</v>
      </c>
      <c r="W146" s="611" t="str">
        <f t="shared" si="37"/>
        <v>-</v>
      </c>
      <c r="X146" s="612" t="str">
        <f t="shared" si="38"/>
        <v>-</v>
      </c>
      <c r="Y146" s="613" t="str">
        <f t="shared" si="39"/>
        <v>-</v>
      </c>
      <c r="Z146" s="614" t="str">
        <f t="shared" si="40"/>
        <v>-</v>
      </c>
      <c r="AB146" s="201" t="s">
        <v>0</v>
      </c>
    </row>
    <row r="147" spans="1:28" ht="15" customHeight="1" x14ac:dyDescent="0.25">
      <c r="A147" s="5"/>
      <c r="B147" s="303">
        <v>137</v>
      </c>
      <c r="C147" s="205" t="s">
        <v>5</v>
      </c>
      <c r="D147" s="205" t="s">
        <v>5</v>
      </c>
      <c r="E147" s="205" t="s">
        <v>5</v>
      </c>
      <c r="F147" s="205" t="s">
        <v>5</v>
      </c>
      <c r="G147" s="205" t="s">
        <v>5</v>
      </c>
      <c r="H147" s="442"/>
      <c r="I147" s="582" t="s">
        <v>5</v>
      </c>
      <c r="J147" s="582" t="s">
        <v>5</v>
      </c>
      <c r="K147" s="287">
        <v>-0.2</v>
      </c>
      <c r="L147" s="287">
        <v>0.2</v>
      </c>
      <c r="M147" s="287">
        <v>-0.14000000000000001</v>
      </c>
      <c r="N147" s="574">
        <v>0.14000000000000001</v>
      </c>
      <c r="O147" s="597" t="str">
        <f t="shared" si="30"/>
        <v>-</v>
      </c>
      <c r="P147" s="597" t="str">
        <f t="shared" si="31"/>
        <v>-</v>
      </c>
      <c r="Q147" s="598" t="str">
        <f t="shared" si="32"/>
        <v>-</v>
      </c>
      <c r="R147" s="599" t="str">
        <f t="shared" si="33"/>
        <v>-</v>
      </c>
      <c r="S147" s="598" t="str">
        <f t="shared" si="34"/>
        <v>-</v>
      </c>
      <c r="T147" s="600" t="str">
        <f t="shared" si="35"/>
        <v>-</v>
      </c>
      <c r="U147" s="31"/>
      <c r="V147" s="610" t="str">
        <f t="shared" si="36"/>
        <v>-</v>
      </c>
      <c r="W147" s="611" t="str">
        <f t="shared" si="37"/>
        <v>-</v>
      </c>
      <c r="X147" s="612" t="str">
        <f t="shared" si="38"/>
        <v>-</v>
      </c>
      <c r="Y147" s="613" t="str">
        <f t="shared" si="39"/>
        <v>-</v>
      </c>
      <c r="Z147" s="614" t="str">
        <f t="shared" si="40"/>
        <v>-</v>
      </c>
      <c r="AB147" s="201" t="s">
        <v>0</v>
      </c>
    </row>
    <row r="148" spans="1:28" ht="15" customHeight="1" x14ac:dyDescent="0.25">
      <c r="A148" s="5"/>
      <c r="B148" s="38">
        <v>138</v>
      </c>
      <c r="C148" s="205" t="s">
        <v>5</v>
      </c>
      <c r="D148" s="205" t="s">
        <v>5</v>
      </c>
      <c r="E148" s="205" t="s">
        <v>5</v>
      </c>
      <c r="F148" s="205" t="s">
        <v>5</v>
      </c>
      <c r="G148" s="205" t="s">
        <v>5</v>
      </c>
      <c r="H148" s="442"/>
      <c r="I148" s="582" t="s">
        <v>5</v>
      </c>
      <c r="J148" s="582" t="s">
        <v>5</v>
      </c>
      <c r="K148" s="287">
        <v>-0.2</v>
      </c>
      <c r="L148" s="287">
        <v>0.2</v>
      </c>
      <c r="M148" s="287">
        <v>-0.14000000000000001</v>
      </c>
      <c r="N148" s="574">
        <v>0.14000000000000001</v>
      </c>
      <c r="O148" s="597" t="str">
        <f t="shared" si="30"/>
        <v>-</v>
      </c>
      <c r="P148" s="597" t="str">
        <f t="shared" si="31"/>
        <v>-</v>
      </c>
      <c r="Q148" s="598" t="str">
        <f t="shared" si="32"/>
        <v>-</v>
      </c>
      <c r="R148" s="599" t="str">
        <f t="shared" si="33"/>
        <v>-</v>
      </c>
      <c r="S148" s="598" t="str">
        <f t="shared" si="34"/>
        <v>-</v>
      </c>
      <c r="T148" s="600" t="str">
        <f t="shared" si="35"/>
        <v>-</v>
      </c>
      <c r="U148" s="31"/>
      <c r="V148" s="610" t="str">
        <f t="shared" si="36"/>
        <v>-</v>
      </c>
      <c r="W148" s="611" t="str">
        <f t="shared" si="37"/>
        <v>-</v>
      </c>
      <c r="X148" s="612" t="str">
        <f t="shared" si="38"/>
        <v>-</v>
      </c>
      <c r="Y148" s="613" t="str">
        <f t="shared" si="39"/>
        <v>-</v>
      </c>
      <c r="Z148" s="614" t="str">
        <f t="shared" si="40"/>
        <v>-</v>
      </c>
      <c r="AB148" s="201" t="s">
        <v>0</v>
      </c>
    </row>
    <row r="149" spans="1:28" ht="15" customHeight="1" x14ac:dyDescent="0.25">
      <c r="A149" s="5"/>
      <c r="B149" s="303">
        <v>139</v>
      </c>
      <c r="C149" s="205" t="s">
        <v>5</v>
      </c>
      <c r="D149" s="205" t="s">
        <v>5</v>
      </c>
      <c r="E149" s="205" t="s">
        <v>5</v>
      </c>
      <c r="F149" s="205" t="s">
        <v>5</v>
      </c>
      <c r="G149" s="205" t="s">
        <v>5</v>
      </c>
      <c r="H149" s="442"/>
      <c r="I149" s="582" t="s">
        <v>5</v>
      </c>
      <c r="J149" s="582" t="s">
        <v>5</v>
      </c>
      <c r="K149" s="287">
        <v>-0.2</v>
      </c>
      <c r="L149" s="287">
        <v>0.2</v>
      </c>
      <c r="M149" s="287">
        <v>-0.14000000000000001</v>
      </c>
      <c r="N149" s="574">
        <v>0.14000000000000001</v>
      </c>
      <c r="O149" s="597" t="str">
        <f t="shared" si="30"/>
        <v>-</v>
      </c>
      <c r="P149" s="597" t="str">
        <f t="shared" si="31"/>
        <v>-</v>
      </c>
      <c r="Q149" s="598" t="str">
        <f t="shared" si="32"/>
        <v>-</v>
      </c>
      <c r="R149" s="599" t="str">
        <f t="shared" si="33"/>
        <v>-</v>
      </c>
      <c r="S149" s="598" t="str">
        <f t="shared" si="34"/>
        <v>-</v>
      </c>
      <c r="T149" s="600" t="str">
        <f t="shared" si="35"/>
        <v>-</v>
      </c>
      <c r="U149" s="31"/>
      <c r="V149" s="610" t="str">
        <f t="shared" si="36"/>
        <v>-</v>
      </c>
      <c r="W149" s="611" t="str">
        <f t="shared" si="37"/>
        <v>-</v>
      </c>
      <c r="X149" s="612" t="str">
        <f t="shared" si="38"/>
        <v>-</v>
      </c>
      <c r="Y149" s="613" t="str">
        <f t="shared" si="39"/>
        <v>-</v>
      </c>
      <c r="Z149" s="614" t="str">
        <f t="shared" si="40"/>
        <v>-</v>
      </c>
      <c r="AB149" s="201" t="s">
        <v>0</v>
      </c>
    </row>
    <row r="150" spans="1:28" ht="15" customHeight="1" x14ac:dyDescent="0.25">
      <c r="A150" s="5"/>
      <c r="B150" s="38">
        <v>140</v>
      </c>
      <c r="C150" s="205" t="s">
        <v>5</v>
      </c>
      <c r="D150" s="205" t="s">
        <v>5</v>
      </c>
      <c r="E150" s="205" t="s">
        <v>5</v>
      </c>
      <c r="F150" s="205" t="s">
        <v>5</v>
      </c>
      <c r="G150" s="205" t="s">
        <v>5</v>
      </c>
      <c r="H150" s="442"/>
      <c r="I150" s="582" t="s">
        <v>5</v>
      </c>
      <c r="J150" s="582" t="s">
        <v>5</v>
      </c>
      <c r="K150" s="287">
        <v>-0.2</v>
      </c>
      <c r="L150" s="287">
        <v>0.2</v>
      </c>
      <c r="M150" s="287">
        <v>-0.14000000000000001</v>
      </c>
      <c r="N150" s="574">
        <v>0.14000000000000001</v>
      </c>
      <c r="O150" s="597" t="str">
        <f t="shared" si="30"/>
        <v>-</v>
      </c>
      <c r="P150" s="597" t="str">
        <f t="shared" si="31"/>
        <v>-</v>
      </c>
      <c r="Q150" s="598" t="str">
        <f t="shared" si="32"/>
        <v>-</v>
      </c>
      <c r="R150" s="599" t="str">
        <f t="shared" si="33"/>
        <v>-</v>
      </c>
      <c r="S150" s="598" t="str">
        <f t="shared" si="34"/>
        <v>-</v>
      </c>
      <c r="T150" s="600" t="str">
        <f t="shared" si="35"/>
        <v>-</v>
      </c>
      <c r="U150" s="31"/>
      <c r="V150" s="610" t="str">
        <f t="shared" si="36"/>
        <v>-</v>
      </c>
      <c r="W150" s="611" t="str">
        <f t="shared" si="37"/>
        <v>-</v>
      </c>
      <c r="X150" s="612" t="str">
        <f t="shared" si="38"/>
        <v>-</v>
      </c>
      <c r="Y150" s="613" t="str">
        <f t="shared" si="39"/>
        <v>-</v>
      </c>
      <c r="Z150" s="614" t="str">
        <f t="shared" si="40"/>
        <v>-</v>
      </c>
      <c r="AB150" s="201" t="s">
        <v>0</v>
      </c>
    </row>
    <row r="151" spans="1:28" ht="15" customHeight="1" x14ac:dyDescent="0.25">
      <c r="A151" s="5"/>
      <c r="B151" s="303">
        <v>141</v>
      </c>
      <c r="C151" s="205" t="s">
        <v>5</v>
      </c>
      <c r="D151" s="205" t="s">
        <v>5</v>
      </c>
      <c r="E151" s="205" t="s">
        <v>5</v>
      </c>
      <c r="F151" s="205" t="s">
        <v>5</v>
      </c>
      <c r="G151" s="205" t="s">
        <v>5</v>
      </c>
      <c r="H151" s="442"/>
      <c r="I151" s="582" t="s">
        <v>5</v>
      </c>
      <c r="J151" s="582" t="s">
        <v>5</v>
      </c>
      <c r="K151" s="287">
        <v>-0.2</v>
      </c>
      <c r="L151" s="287">
        <v>0.2</v>
      </c>
      <c r="M151" s="287">
        <v>-0.14000000000000001</v>
      </c>
      <c r="N151" s="574">
        <v>0.14000000000000001</v>
      </c>
      <c r="O151" s="597" t="str">
        <f t="shared" si="30"/>
        <v>-</v>
      </c>
      <c r="P151" s="597" t="str">
        <f t="shared" si="31"/>
        <v>-</v>
      </c>
      <c r="Q151" s="598" t="str">
        <f t="shared" si="32"/>
        <v>-</v>
      </c>
      <c r="R151" s="599" t="str">
        <f t="shared" si="33"/>
        <v>-</v>
      </c>
      <c r="S151" s="598" t="str">
        <f t="shared" si="34"/>
        <v>-</v>
      </c>
      <c r="T151" s="600" t="str">
        <f t="shared" si="35"/>
        <v>-</v>
      </c>
      <c r="U151" s="31"/>
      <c r="V151" s="610" t="str">
        <f t="shared" si="36"/>
        <v>-</v>
      </c>
      <c r="W151" s="611" t="str">
        <f t="shared" si="37"/>
        <v>-</v>
      </c>
      <c r="X151" s="612" t="str">
        <f t="shared" si="38"/>
        <v>-</v>
      </c>
      <c r="Y151" s="613" t="str">
        <f t="shared" si="39"/>
        <v>-</v>
      </c>
      <c r="Z151" s="614" t="str">
        <f t="shared" si="40"/>
        <v>-</v>
      </c>
      <c r="AB151" s="201" t="s">
        <v>0</v>
      </c>
    </row>
    <row r="152" spans="1:28" ht="15" customHeight="1" x14ac:dyDescent="0.25">
      <c r="A152" s="5"/>
      <c r="B152" s="38">
        <v>142</v>
      </c>
      <c r="C152" s="205" t="s">
        <v>5</v>
      </c>
      <c r="D152" s="205" t="s">
        <v>5</v>
      </c>
      <c r="E152" s="205" t="s">
        <v>5</v>
      </c>
      <c r="F152" s="205" t="s">
        <v>5</v>
      </c>
      <c r="G152" s="205" t="s">
        <v>5</v>
      </c>
      <c r="H152" s="442"/>
      <c r="I152" s="582" t="s">
        <v>5</v>
      </c>
      <c r="J152" s="582" t="s">
        <v>5</v>
      </c>
      <c r="K152" s="287">
        <v>-0.2</v>
      </c>
      <c r="L152" s="287">
        <v>0.2</v>
      </c>
      <c r="M152" s="287">
        <v>-0.14000000000000001</v>
      </c>
      <c r="N152" s="574">
        <v>0.14000000000000001</v>
      </c>
      <c r="O152" s="597" t="str">
        <f t="shared" si="30"/>
        <v>-</v>
      </c>
      <c r="P152" s="597" t="str">
        <f t="shared" si="31"/>
        <v>-</v>
      </c>
      <c r="Q152" s="598" t="str">
        <f t="shared" si="32"/>
        <v>-</v>
      </c>
      <c r="R152" s="599" t="str">
        <f t="shared" si="33"/>
        <v>-</v>
      </c>
      <c r="S152" s="598" t="str">
        <f t="shared" si="34"/>
        <v>-</v>
      </c>
      <c r="T152" s="600" t="str">
        <f t="shared" si="35"/>
        <v>-</v>
      </c>
      <c r="U152" s="31"/>
      <c r="V152" s="610" t="str">
        <f t="shared" si="36"/>
        <v>-</v>
      </c>
      <c r="W152" s="611" t="str">
        <f t="shared" si="37"/>
        <v>-</v>
      </c>
      <c r="X152" s="612" t="str">
        <f t="shared" si="38"/>
        <v>-</v>
      </c>
      <c r="Y152" s="613" t="str">
        <f t="shared" si="39"/>
        <v>-</v>
      </c>
      <c r="Z152" s="614" t="str">
        <f t="shared" si="40"/>
        <v>-</v>
      </c>
      <c r="AB152" s="201" t="s">
        <v>0</v>
      </c>
    </row>
    <row r="153" spans="1:28" ht="15" customHeight="1" x14ac:dyDescent="0.25">
      <c r="A153" s="5"/>
      <c r="B153" s="303">
        <v>143</v>
      </c>
      <c r="C153" s="205" t="s">
        <v>5</v>
      </c>
      <c r="D153" s="205" t="s">
        <v>5</v>
      </c>
      <c r="E153" s="205" t="s">
        <v>5</v>
      </c>
      <c r="F153" s="205" t="s">
        <v>5</v>
      </c>
      <c r="G153" s="205" t="s">
        <v>5</v>
      </c>
      <c r="H153" s="442"/>
      <c r="I153" s="582" t="s">
        <v>5</v>
      </c>
      <c r="J153" s="582" t="s">
        <v>5</v>
      </c>
      <c r="K153" s="287">
        <v>-0.2</v>
      </c>
      <c r="L153" s="287">
        <v>0.2</v>
      </c>
      <c r="M153" s="287">
        <v>-0.14000000000000001</v>
      </c>
      <c r="N153" s="574">
        <v>0.14000000000000001</v>
      </c>
      <c r="O153" s="597" t="str">
        <f t="shared" si="30"/>
        <v>-</v>
      </c>
      <c r="P153" s="597" t="str">
        <f t="shared" si="31"/>
        <v>-</v>
      </c>
      <c r="Q153" s="598" t="str">
        <f t="shared" si="32"/>
        <v>-</v>
      </c>
      <c r="R153" s="599" t="str">
        <f t="shared" si="33"/>
        <v>-</v>
      </c>
      <c r="S153" s="598" t="str">
        <f t="shared" si="34"/>
        <v>-</v>
      </c>
      <c r="T153" s="600" t="str">
        <f t="shared" si="35"/>
        <v>-</v>
      </c>
      <c r="U153" s="31"/>
      <c r="V153" s="610" t="str">
        <f t="shared" si="36"/>
        <v>-</v>
      </c>
      <c r="W153" s="611" t="str">
        <f t="shared" si="37"/>
        <v>-</v>
      </c>
      <c r="X153" s="612" t="str">
        <f t="shared" si="38"/>
        <v>-</v>
      </c>
      <c r="Y153" s="613" t="str">
        <f t="shared" si="39"/>
        <v>-</v>
      </c>
      <c r="Z153" s="614" t="str">
        <f t="shared" si="40"/>
        <v>-</v>
      </c>
      <c r="AB153" s="201" t="s">
        <v>0</v>
      </c>
    </row>
    <row r="154" spans="1:28" ht="15" customHeight="1" x14ac:dyDescent="0.25">
      <c r="A154" s="5"/>
      <c r="B154" s="38">
        <v>144</v>
      </c>
      <c r="C154" s="205" t="s">
        <v>5</v>
      </c>
      <c r="D154" s="205" t="s">
        <v>5</v>
      </c>
      <c r="E154" s="205" t="s">
        <v>5</v>
      </c>
      <c r="F154" s="205" t="s">
        <v>5</v>
      </c>
      <c r="G154" s="205" t="s">
        <v>5</v>
      </c>
      <c r="H154" s="442"/>
      <c r="I154" s="582" t="s">
        <v>5</v>
      </c>
      <c r="J154" s="582" t="s">
        <v>5</v>
      </c>
      <c r="K154" s="287">
        <v>-0.2</v>
      </c>
      <c r="L154" s="287">
        <v>0.2</v>
      </c>
      <c r="M154" s="287">
        <v>-0.14000000000000001</v>
      </c>
      <c r="N154" s="574">
        <v>0.14000000000000001</v>
      </c>
      <c r="O154" s="597" t="str">
        <f t="shared" si="30"/>
        <v>-</v>
      </c>
      <c r="P154" s="597" t="str">
        <f t="shared" si="31"/>
        <v>-</v>
      </c>
      <c r="Q154" s="598" t="str">
        <f t="shared" si="32"/>
        <v>-</v>
      </c>
      <c r="R154" s="599" t="str">
        <f t="shared" si="33"/>
        <v>-</v>
      </c>
      <c r="S154" s="598" t="str">
        <f t="shared" si="34"/>
        <v>-</v>
      </c>
      <c r="T154" s="600" t="str">
        <f t="shared" si="35"/>
        <v>-</v>
      </c>
      <c r="U154" s="31"/>
      <c r="V154" s="610" t="str">
        <f t="shared" si="36"/>
        <v>-</v>
      </c>
      <c r="W154" s="611" t="str">
        <f t="shared" si="37"/>
        <v>-</v>
      </c>
      <c r="X154" s="612" t="str">
        <f t="shared" si="38"/>
        <v>-</v>
      </c>
      <c r="Y154" s="613" t="str">
        <f t="shared" si="39"/>
        <v>-</v>
      </c>
      <c r="Z154" s="614" t="str">
        <f t="shared" si="40"/>
        <v>-</v>
      </c>
      <c r="AB154" s="201" t="s">
        <v>0</v>
      </c>
    </row>
    <row r="155" spans="1:28" ht="15" customHeight="1" x14ac:dyDescent="0.25">
      <c r="A155" s="5"/>
      <c r="B155" s="303">
        <v>145</v>
      </c>
      <c r="C155" s="205" t="s">
        <v>5</v>
      </c>
      <c r="D155" s="205" t="s">
        <v>5</v>
      </c>
      <c r="E155" s="205" t="s">
        <v>5</v>
      </c>
      <c r="F155" s="205" t="s">
        <v>5</v>
      </c>
      <c r="G155" s="205" t="s">
        <v>5</v>
      </c>
      <c r="H155" s="442"/>
      <c r="I155" s="582" t="s">
        <v>5</v>
      </c>
      <c r="J155" s="582" t="s">
        <v>5</v>
      </c>
      <c r="K155" s="287">
        <v>-0.2</v>
      </c>
      <c r="L155" s="287">
        <v>0.2</v>
      </c>
      <c r="M155" s="287">
        <v>-0.14000000000000001</v>
      </c>
      <c r="N155" s="574">
        <v>0.14000000000000001</v>
      </c>
      <c r="O155" s="597" t="str">
        <f t="shared" si="30"/>
        <v>-</v>
      </c>
      <c r="P155" s="597" t="str">
        <f t="shared" si="31"/>
        <v>-</v>
      </c>
      <c r="Q155" s="598" t="str">
        <f t="shared" si="32"/>
        <v>-</v>
      </c>
      <c r="R155" s="599" t="str">
        <f t="shared" si="33"/>
        <v>-</v>
      </c>
      <c r="S155" s="598" t="str">
        <f t="shared" si="34"/>
        <v>-</v>
      </c>
      <c r="T155" s="600" t="str">
        <f t="shared" si="35"/>
        <v>-</v>
      </c>
      <c r="U155" s="31"/>
      <c r="V155" s="610" t="str">
        <f t="shared" si="36"/>
        <v>-</v>
      </c>
      <c r="W155" s="611" t="str">
        <f t="shared" si="37"/>
        <v>-</v>
      </c>
      <c r="X155" s="612" t="str">
        <f t="shared" si="38"/>
        <v>-</v>
      </c>
      <c r="Y155" s="613" t="str">
        <f t="shared" si="39"/>
        <v>-</v>
      </c>
      <c r="Z155" s="614" t="str">
        <f t="shared" si="40"/>
        <v>-</v>
      </c>
      <c r="AB155" s="201" t="s">
        <v>0</v>
      </c>
    </row>
    <row r="156" spans="1:28" ht="15" customHeight="1" x14ac:dyDescent="0.25">
      <c r="A156" s="5"/>
      <c r="B156" s="38">
        <v>146</v>
      </c>
      <c r="C156" s="205" t="s">
        <v>5</v>
      </c>
      <c r="D156" s="205" t="s">
        <v>5</v>
      </c>
      <c r="E156" s="205" t="s">
        <v>5</v>
      </c>
      <c r="F156" s="205" t="s">
        <v>5</v>
      </c>
      <c r="G156" s="205" t="s">
        <v>5</v>
      </c>
      <c r="H156" s="442"/>
      <c r="I156" s="582" t="s">
        <v>5</v>
      </c>
      <c r="J156" s="582" t="s">
        <v>5</v>
      </c>
      <c r="K156" s="287">
        <v>-0.2</v>
      </c>
      <c r="L156" s="287">
        <v>0.2</v>
      </c>
      <c r="M156" s="287">
        <v>-0.14000000000000001</v>
      </c>
      <c r="N156" s="574">
        <v>0.14000000000000001</v>
      </c>
      <c r="O156" s="597" t="str">
        <f t="shared" si="30"/>
        <v>-</v>
      </c>
      <c r="P156" s="597" t="str">
        <f t="shared" si="31"/>
        <v>-</v>
      </c>
      <c r="Q156" s="598" t="str">
        <f t="shared" si="32"/>
        <v>-</v>
      </c>
      <c r="R156" s="599" t="str">
        <f t="shared" si="33"/>
        <v>-</v>
      </c>
      <c r="S156" s="598" t="str">
        <f t="shared" si="34"/>
        <v>-</v>
      </c>
      <c r="T156" s="600" t="str">
        <f t="shared" si="35"/>
        <v>-</v>
      </c>
      <c r="U156" s="31"/>
      <c r="V156" s="610" t="str">
        <f t="shared" si="36"/>
        <v>-</v>
      </c>
      <c r="W156" s="611" t="str">
        <f t="shared" si="37"/>
        <v>-</v>
      </c>
      <c r="X156" s="612" t="str">
        <f t="shared" si="38"/>
        <v>-</v>
      </c>
      <c r="Y156" s="613" t="str">
        <f t="shared" si="39"/>
        <v>-</v>
      </c>
      <c r="Z156" s="614" t="str">
        <f t="shared" si="40"/>
        <v>-</v>
      </c>
      <c r="AB156" s="201" t="s">
        <v>0</v>
      </c>
    </row>
    <row r="157" spans="1:28" ht="15" customHeight="1" x14ac:dyDescent="0.25">
      <c r="A157" s="5"/>
      <c r="B157" s="303">
        <v>147</v>
      </c>
      <c r="C157" s="205" t="s">
        <v>5</v>
      </c>
      <c r="D157" s="205" t="s">
        <v>5</v>
      </c>
      <c r="E157" s="205" t="s">
        <v>5</v>
      </c>
      <c r="F157" s="205" t="s">
        <v>5</v>
      </c>
      <c r="G157" s="205" t="s">
        <v>5</v>
      </c>
      <c r="H157" s="442"/>
      <c r="I157" s="582" t="s">
        <v>5</v>
      </c>
      <c r="J157" s="582" t="s">
        <v>5</v>
      </c>
      <c r="K157" s="287">
        <v>-0.2</v>
      </c>
      <c r="L157" s="287">
        <v>0.2</v>
      </c>
      <c r="M157" s="287">
        <v>-0.14000000000000001</v>
      </c>
      <c r="N157" s="574">
        <v>0.14000000000000001</v>
      </c>
      <c r="O157" s="597" t="str">
        <f t="shared" si="30"/>
        <v>-</v>
      </c>
      <c r="P157" s="597" t="str">
        <f t="shared" si="31"/>
        <v>-</v>
      </c>
      <c r="Q157" s="598" t="str">
        <f t="shared" si="32"/>
        <v>-</v>
      </c>
      <c r="R157" s="599" t="str">
        <f t="shared" si="33"/>
        <v>-</v>
      </c>
      <c r="S157" s="598" t="str">
        <f t="shared" si="34"/>
        <v>-</v>
      </c>
      <c r="T157" s="600" t="str">
        <f t="shared" si="35"/>
        <v>-</v>
      </c>
      <c r="U157" s="31"/>
      <c r="V157" s="610" t="str">
        <f t="shared" si="36"/>
        <v>-</v>
      </c>
      <c r="W157" s="611" t="str">
        <f t="shared" si="37"/>
        <v>-</v>
      </c>
      <c r="X157" s="612" t="str">
        <f t="shared" si="38"/>
        <v>-</v>
      </c>
      <c r="Y157" s="613" t="str">
        <f t="shared" si="39"/>
        <v>-</v>
      </c>
      <c r="Z157" s="614" t="str">
        <f t="shared" si="40"/>
        <v>-</v>
      </c>
      <c r="AB157" s="201" t="s">
        <v>0</v>
      </c>
    </row>
    <row r="158" spans="1:28" ht="15" customHeight="1" x14ac:dyDescent="0.25">
      <c r="A158" s="5"/>
      <c r="B158" s="38">
        <v>148</v>
      </c>
      <c r="C158" s="205" t="s">
        <v>5</v>
      </c>
      <c r="D158" s="205" t="s">
        <v>5</v>
      </c>
      <c r="E158" s="205" t="s">
        <v>5</v>
      </c>
      <c r="F158" s="205" t="s">
        <v>5</v>
      </c>
      <c r="G158" s="205" t="s">
        <v>5</v>
      </c>
      <c r="H158" s="442"/>
      <c r="I158" s="582" t="s">
        <v>5</v>
      </c>
      <c r="J158" s="582" t="s">
        <v>5</v>
      </c>
      <c r="K158" s="287">
        <v>-0.2</v>
      </c>
      <c r="L158" s="287">
        <v>0.2</v>
      </c>
      <c r="M158" s="287">
        <v>-0.14000000000000001</v>
      </c>
      <c r="N158" s="574">
        <v>0.14000000000000001</v>
      </c>
      <c r="O158" s="597" t="str">
        <f t="shared" si="30"/>
        <v>-</v>
      </c>
      <c r="P158" s="597" t="str">
        <f t="shared" si="31"/>
        <v>-</v>
      </c>
      <c r="Q158" s="598" t="str">
        <f t="shared" si="32"/>
        <v>-</v>
      </c>
      <c r="R158" s="599" t="str">
        <f t="shared" si="33"/>
        <v>-</v>
      </c>
      <c r="S158" s="598" t="str">
        <f t="shared" si="34"/>
        <v>-</v>
      </c>
      <c r="T158" s="600" t="str">
        <f t="shared" si="35"/>
        <v>-</v>
      </c>
      <c r="U158" s="31"/>
      <c r="V158" s="610" t="str">
        <f t="shared" si="36"/>
        <v>-</v>
      </c>
      <c r="W158" s="611" t="str">
        <f t="shared" si="37"/>
        <v>-</v>
      </c>
      <c r="X158" s="612" t="str">
        <f t="shared" si="38"/>
        <v>-</v>
      </c>
      <c r="Y158" s="613" t="str">
        <f t="shared" si="39"/>
        <v>-</v>
      </c>
      <c r="Z158" s="614" t="str">
        <f t="shared" si="40"/>
        <v>-</v>
      </c>
      <c r="AB158" s="201" t="s">
        <v>0</v>
      </c>
    </row>
    <row r="159" spans="1:28" ht="15" customHeight="1" x14ac:dyDescent="0.25">
      <c r="A159" s="5"/>
      <c r="B159" s="303">
        <v>149</v>
      </c>
      <c r="C159" s="205" t="s">
        <v>5</v>
      </c>
      <c r="D159" s="205" t="s">
        <v>5</v>
      </c>
      <c r="E159" s="205" t="s">
        <v>5</v>
      </c>
      <c r="F159" s="205" t="s">
        <v>5</v>
      </c>
      <c r="G159" s="205" t="s">
        <v>5</v>
      </c>
      <c r="H159" s="442"/>
      <c r="I159" s="582" t="s">
        <v>5</v>
      </c>
      <c r="J159" s="582" t="s">
        <v>5</v>
      </c>
      <c r="K159" s="287">
        <v>-0.2</v>
      </c>
      <c r="L159" s="287">
        <v>0.2</v>
      </c>
      <c r="M159" s="287">
        <v>-0.14000000000000001</v>
      </c>
      <c r="N159" s="574">
        <v>0.14000000000000001</v>
      </c>
      <c r="O159" s="597" t="str">
        <f t="shared" si="30"/>
        <v>-</v>
      </c>
      <c r="P159" s="597" t="str">
        <f t="shared" si="31"/>
        <v>-</v>
      </c>
      <c r="Q159" s="598" t="str">
        <f t="shared" si="32"/>
        <v>-</v>
      </c>
      <c r="R159" s="599" t="str">
        <f t="shared" si="33"/>
        <v>-</v>
      </c>
      <c r="S159" s="598" t="str">
        <f t="shared" si="34"/>
        <v>-</v>
      </c>
      <c r="T159" s="600" t="str">
        <f t="shared" si="35"/>
        <v>-</v>
      </c>
      <c r="U159" s="31"/>
      <c r="V159" s="610" t="str">
        <f t="shared" si="36"/>
        <v>-</v>
      </c>
      <c r="W159" s="611" t="str">
        <f t="shared" si="37"/>
        <v>-</v>
      </c>
      <c r="X159" s="612" t="str">
        <f t="shared" si="38"/>
        <v>-</v>
      </c>
      <c r="Y159" s="613" t="str">
        <f t="shared" si="39"/>
        <v>-</v>
      </c>
      <c r="Z159" s="614" t="str">
        <f t="shared" si="40"/>
        <v>-</v>
      </c>
      <c r="AB159" s="201" t="s">
        <v>0</v>
      </c>
    </row>
    <row r="160" spans="1:28" ht="15" customHeight="1" x14ac:dyDescent="0.25">
      <c r="A160" s="5"/>
      <c r="B160" s="37">
        <v>150</v>
      </c>
      <c r="C160" s="222" t="s">
        <v>5</v>
      </c>
      <c r="D160" s="222" t="s">
        <v>5</v>
      </c>
      <c r="E160" s="222" t="s">
        <v>5</v>
      </c>
      <c r="F160" s="222" t="s">
        <v>5</v>
      </c>
      <c r="G160" s="222" t="s">
        <v>5</v>
      </c>
      <c r="H160" s="446"/>
      <c r="I160" s="582" t="s">
        <v>5</v>
      </c>
      <c r="J160" s="582" t="s">
        <v>5</v>
      </c>
      <c r="K160" s="422">
        <v>-0.2</v>
      </c>
      <c r="L160" s="422">
        <v>0.2</v>
      </c>
      <c r="M160" s="422">
        <v>-0.14000000000000001</v>
      </c>
      <c r="N160" s="575">
        <v>0.14000000000000001</v>
      </c>
      <c r="O160" s="601" t="str">
        <f t="shared" si="30"/>
        <v>-</v>
      </c>
      <c r="P160" s="601" t="str">
        <f t="shared" si="31"/>
        <v>-</v>
      </c>
      <c r="Q160" s="602" t="str">
        <f t="shared" si="32"/>
        <v>-</v>
      </c>
      <c r="R160" s="603" t="str">
        <f t="shared" si="33"/>
        <v>-</v>
      </c>
      <c r="S160" s="602" t="str">
        <f t="shared" si="34"/>
        <v>-</v>
      </c>
      <c r="T160" s="604" t="str">
        <f t="shared" si="35"/>
        <v>-</v>
      </c>
      <c r="U160" s="29"/>
      <c r="V160" s="615" t="str">
        <f t="shared" si="36"/>
        <v>-</v>
      </c>
      <c r="W160" s="616" t="str">
        <f t="shared" si="37"/>
        <v>-</v>
      </c>
      <c r="X160" s="617" t="str">
        <f t="shared" si="38"/>
        <v>-</v>
      </c>
      <c r="Y160" s="618" t="str">
        <f t="shared" si="39"/>
        <v>-</v>
      </c>
      <c r="Z160" s="619" t="str">
        <f t="shared" si="40"/>
        <v>-</v>
      </c>
      <c r="AB160" s="201" t="s">
        <v>0</v>
      </c>
    </row>
    <row r="161" spans="1:28" ht="15" customHeight="1" x14ac:dyDescent="0.25">
      <c r="A161" s="5"/>
      <c r="B161" s="5"/>
      <c r="C161" s="5"/>
      <c r="D161" s="5"/>
      <c r="E161" s="5"/>
      <c r="F161" s="5"/>
      <c r="G161" s="5"/>
      <c r="AB161" s="201" t="s">
        <v>0</v>
      </c>
    </row>
    <row r="162" spans="1:28" ht="15" customHeight="1" x14ac:dyDescent="0.25">
      <c r="A162" s="201" t="s">
        <v>0</v>
      </c>
      <c r="B162" s="201" t="s">
        <v>0</v>
      </c>
      <c r="C162" s="201" t="s">
        <v>0</v>
      </c>
      <c r="D162" s="201" t="s">
        <v>0</v>
      </c>
      <c r="E162" s="201" t="s">
        <v>0</v>
      </c>
      <c r="F162" s="201" t="s">
        <v>0</v>
      </c>
      <c r="G162" s="201" t="s">
        <v>0</v>
      </c>
      <c r="H162" s="201" t="s">
        <v>0</v>
      </c>
      <c r="I162" s="201" t="s">
        <v>0</v>
      </c>
      <c r="J162" s="201" t="s">
        <v>0</v>
      </c>
      <c r="K162" s="201" t="s">
        <v>0</v>
      </c>
      <c r="L162" s="201" t="s">
        <v>0</v>
      </c>
      <c r="M162" s="201" t="s">
        <v>0</v>
      </c>
      <c r="N162" s="201" t="s">
        <v>0</v>
      </c>
      <c r="O162" s="201" t="s">
        <v>0</v>
      </c>
      <c r="P162" s="201" t="s">
        <v>0</v>
      </c>
      <c r="Q162" s="201" t="s">
        <v>0</v>
      </c>
      <c r="R162" s="201" t="s">
        <v>0</v>
      </c>
      <c r="S162" s="201" t="s">
        <v>0</v>
      </c>
      <c r="T162" s="201" t="s">
        <v>0</v>
      </c>
      <c r="U162" s="201" t="s">
        <v>0</v>
      </c>
      <c r="V162" s="201" t="s">
        <v>0</v>
      </c>
      <c r="W162" s="201" t="s">
        <v>0</v>
      </c>
      <c r="X162" s="201" t="s">
        <v>0</v>
      </c>
      <c r="Y162" s="201" t="s">
        <v>0</v>
      </c>
      <c r="Z162" s="201" t="s">
        <v>0</v>
      </c>
      <c r="AA162" s="201" t="s">
        <v>0</v>
      </c>
      <c r="AB162" s="201" t="s">
        <v>0</v>
      </c>
    </row>
    <row r="164" spans="1:28" ht="15" customHeight="1" x14ac:dyDescent="0.25">
      <c r="P164" s="443"/>
    </row>
  </sheetData>
  <mergeCells count="14">
    <mergeCell ref="O9:P9"/>
    <mergeCell ref="K9:L9"/>
    <mergeCell ref="Y2:Z2"/>
    <mergeCell ref="V8:Z8"/>
    <mergeCell ref="B4:Z4"/>
    <mergeCell ref="I9:J9"/>
    <mergeCell ref="Q9:T9"/>
    <mergeCell ref="K8:T8"/>
    <mergeCell ref="W9:X9"/>
    <mergeCell ref="Y9:Z9"/>
    <mergeCell ref="M9:N9"/>
    <mergeCell ref="C8:G8"/>
    <mergeCell ref="D9:E9"/>
    <mergeCell ref="F9:G9"/>
  </mergeCells>
  <pageMargins left="0.7" right="0.7" top="0.75" bottom="0.75" header="0.3" footer="0.3"/>
  <pageSetup paperSize="9" orientation="portrait" r:id="rId1"/>
  <ignoredErrors>
    <ignoredError sqref="Y2 K31:K140 L31:L122 N31:N125"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autoPageBreaks="0"/>
  </sheetPr>
  <dimension ref="A1:AB67"/>
  <sheetViews>
    <sheetView topLeftCell="A37" zoomScaleNormal="100" workbookViewId="0">
      <selection activeCell="C69" sqref="C69"/>
    </sheetView>
  </sheetViews>
  <sheetFormatPr defaultColWidth="9.140625" defaultRowHeight="15" customHeight="1" x14ac:dyDescent="0.25"/>
  <cols>
    <col min="1" max="1" width="9.140625" style="5"/>
    <col min="2" max="2" width="45.7109375" style="5" customWidth="1"/>
    <col min="3" max="7" width="14.28515625" style="5" customWidth="1"/>
    <col min="8" max="8" width="14.7109375" style="5" customWidth="1"/>
    <col min="9" max="9" width="14.28515625" style="5" customWidth="1"/>
    <col min="10" max="10" width="14.7109375" style="5" customWidth="1"/>
    <col min="11" max="24" width="14.28515625" style="5" customWidth="1"/>
    <col min="25" max="16384" width="9.140625" style="5"/>
  </cols>
  <sheetData>
    <row r="1" spans="1:28" ht="15" customHeight="1" x14ac:dyDescent="0.25">
      <c r="Z1" s="188" t="s">
        <v>0</v>
      </c>
    </row>
    <row r="2" spans="1:28" ht="15" customHeight="1" x14ac:dyDescent="0.25">
      <c r="J2" s="189"/>
      <c r="K2" s="189"/>
      <c r="Q2" s="544" t="str">
        <f>HYPERLINK("#'Index'!d8","&gt;&gt; go to Index")</f>
        <v>&gt;&gt; go to Index</v>
      </c>
      <c r="R2" s="486"/>
      <c r="S2" s="486"/>
      <c r="U2" s="486"/>
      <c r="V2" s="486"/>
      <c r="W2" s="486"/>
      <c r="X2" s="486"/>
      <c r="Z2" s="188" t="s">
        <v>0</v>
      </c>
    </row>
    <row r="3" spans="1:28" ht="15" customHeight="1" x14ac:dyDescent="0.25">
      <c r="Z3" s="188" t="s">
        <v>0</v>
      </c>
    </row>
    <row r="4" spans="1:28" ht="15" customHeight="1" x14ac:dyDescent="0.25">
      <c r="B4" s="530" t="s">
        <v>506</v>
      </c>
      <c r="C4" s="424"/>
      <c r="D4" s="528"/>
      <c r="E4" s="530" t="s">
        <v>512</v>
      </c>
      <c r="F4" s="424"/>
      <c r="G4" s="424"/>
      <c r="H4" s="186"/>
      <c r="I4" s="186"/>
      <c r="J4" s="187"/>
      <c r="L4" s="530" t="s">
        <v>520</v>
      </c>
      <c r="M4" s="424"/>
      <c r="N4" s="424"/>
      <c r="O4" s="424"/>
      <c r="Z4" s="188" t="s">
        <v>0</v>
      </c>
      <c r="AB4" s="1" t="s">
        <v>18</v>
      </c>
    </row>
    <row r="5" spans="1:28" ht="15" customHeight="1" x14ac:dyDescent="0.25">
      <c r="B5" s="144" t="s">
        <v>27</v>
      </c>
      <c r="C5" s="590">
        <f>SUM(O59)</f>
        <v>0</v>
      </c>
      <c r="D5" s="338"/>
      <c r="E5" s="426"/>
      <c r="F5" s="540"/>
      <c r="G5" s="541"/>
      <c r="H5" s="533" t="str">
        <f>IF(G18="No","Risk-specific","IORP as a whole")</f>
        <v>Risk-specific</v>
      </c>
      <c r="I5" s="512" t="s">
        <v>517</v>
      </c>
      <c r="J5" s="212" t="s">
        <v>518</v>
      </c>
      <c r="L5" s="426" t="s">
        <v>521</v>
      </c>
      <c r="M5" s="540"/>
      <c r="N5" s="540"/>
      <c r="O5" s="590">
        <f>SUM('Balance sheet'!F8)</f>
        <v>0</v>
      </c>
      <c r="Z5" s="188" t="s">
        <v>0</v>
      </c>
      <c r="AB5" s="5" t="s">
        <v>19</v>
      </c>
    </row>
    <row r="6" spans="1:28" ht="15" customHeight="1" x14ac:dyDescent="0.25">
      <c r="B6" s="145" t="s">
        <v>28</v>
      </c>
      <c r="C6" s="620">
        <f>SUM(O60)</f>
        <v>0</v>
      </c>
      <c r="D6" s="552" t="s">
        <v>554</v>
      </c>
      <c r="E6" s="288" t="s">
        <v>123</v>
      </c>
      <c r="F6" s="138"/>
      <c r="G6" s="138"/>
      <c r="H6" s="589">
        <f>IF($G$18="No",SUM(I6),SUM(J6))</f>
        <v>0</v>
      </c>
      <c r="I6" s="623">
        <f>IF(G18="No",-MAX(MIN(SUM(D23),-SUM(J58)),0),"-")</f>
        <v>0</v>
      </c>
      <c r="J6" s="590" t="str">
        <f>IF(G18="Yes",-MAX(MIN(SUM(D23),-SUM(J35)),0),"-")</f>
        <v>-</v>
      </c>
      <c r="L6" s="288" t="s">
        <v>390</v>
      </c>
      <c r="M6" s="533"/>
      <c r="N6" s="533"/>
      <c r="O6" s="620">
        <f>SUM(C12)</f>
        <v>0</v>
      </c>
      <c r="Z6" s="188" t="s">
        <v>0</v>
      </c>
    </row>
    <row r="7" spans="1:28" ht="15" customHeight="1" x14ac:dyDescent="0.25">
      <c r="B7" s="145" t="s">
        <v>24</v>
      </c>
      <c r="C7" s="620">
        <f>SUM(O61)</f>
        <v>0</v>
      </c>
      <c r="D7" s="552" t="s">
        <v>549</v>
      </c>
      <c r="E7" s="288" t="s">
        <v>124</v>
      </c>
      <c r="F7" s="138"/>
      <c r="G7" s="138"/>
      <c r="H7" s="622">
        <f t="shared" ref="H7:H13" si="0">IF($G$18="No",SUM(I7),SUM(J7))</f>
        <v>0</v>
      </c>
      <c r="I7" s="624">
        <f>IF(G18="No",-MAX(MIN(SUM(D24),-SUM(K58)),0),"-")</f>
        <v>0</v>
      </c>
      <c r="J7" s="620" t="str">
        <f>IF(G18="Yes",-MAX(MIN(SUM(D24),-SUM(K35)),0),"-")</f>
        <v>-</v>
      </c>
      <c r="L7" s="190" t="s">
        <v>522</v>
      </c>
      <c r="M7" s="542"/>
      <c r="N7" s="542"/>
      <c r="O7" s="626">
        <f>SUM(O5)-SUM(O6)</f>
        <v>0</v>
      </c>
      <c r="Z7" s="188" t="s">
        <v>0</v>
      </c>
    </row>
    <row r="8" spans="1:28" ht="15" customHeight="1" x14ac:dyDescent="0.25">
      <c r="B8" s="145" t="s">
        <v>29</v>
      </c>
      <c r="C8" s="620">
        <f>SUM(O62)</f>
        <v>0</v>
      </c>
      <c r="D8" s="552" t="s">
        <v>550</v>
      </c>
      <c r="E8" s="288" t="s">
        <v>7</v>
      </c>
      <c r="F8" s="138"/>
      <c r="G8" s="138"/>
      <c r="H8" s="622">
        <f t="shared" si="0"/>
        <v>0</v>
      </c>
      <c r="I8" s="624">
        <f>IF(G18="No",-MAX(MIN(SUM(D25),-SUM(L58)),0),"-")</f>
        <v>0</v>
      </c>
      <c r="J8" s="620" t="str">
        <f>IF(G18="Yes",-MAX(MIN(SUM(D25),-SUM(L35)),0),"-")</f>
        <v>-</v>
      </c>
      <c r="Z8" s="188" t="s">
        <v>0</v>
      </c>
    </row>
    <row r="9" spans="1:28" ht="15" customHeight="1" x14ac:dyDescent="0.25">
      <c r="A9" s="548" t="s">
        <v>576</v>
      </c>
      <c r="B9" s="419" t="s">
        <v>389</v>
      </c>
      <c r="C9" s="621">
        <f t="array" ref="C9">SQRT(MMULT(MMULT(TRANSPOSE(C5:C7),O49:Q51),C5:C7))+C8</f>
        <v>0</v>
      </c>
      <c r="D9" s="552" t="s">
        <v>551</v>
      </c>
      <c r="E9" s="288" t="s">
        <v>21</v>
      </c>
      <c r="F9" s="138"/>
      <c r="G9" s="138"/>
      <c r="H9" s="622">
        <f t="shared" si="0"/>
        <v>0</v>
      </c>
      <c r="I9" s="624">
        <f>IF(G18="No",-MAX(MIN(SUM(D26),-SUM(M58)),0),"-")</f>
        <v>0</v>
      </c>
      <c r="J9" s="620" t="str">
        <f>IF(G18="Yes",-MAX(MIN(SUM(D26),-SUM(M35)),0),"-")</f>
        <v>-</v>
      </c>
      <c r="Z9" s="188"/>
    </row>
    <row r="10" spans="1:28" ht="15" customHeight="1" x14ac:dyDescent="0.25">
      <c r="B10" s="145" t="s">
        <v>30</v>
      </c>
      <c r="C10" s="622">
        <f>SUM(O63)</f>
        <v>0</v>
      </c>
      <c r="D10" s="552" t="s">
        <v>552</v>
      </c>
      <c r="E10" s="288" t="s">
        <v>514</v>
      </c>
      <c r="F10" s="138"/>
      <c r="G10" s="138"/>
      <c r="H10" s="622">
        <f t="shared" si="0"/>
        <v>0</v>
      </c>
      <c r="I10" s="624">
        <f>IF(G18="No",-MAX(MAX(-SUM(N58),SUM('Overview SRA'!C9)+SUM('Overview SRA'!C10)+SUM('Overview SRA'!I6:I9)+SUM('Overview SRA'!I11)-SUM('Balance sheet'!F8)),0),"-")</f>
        <v>0</v>
      </c>
      <c r="J10" s="620" t="str">
        <f>IF(G18="Yes",-MAX(MAX(-SUM(N35),SUM('Overview SRA'!C9)+SUM('Overview SRA'!C10)+SUM('Overview SRA'!J6:J9)+SUM('Overview SRA'!J11)-SUM('Balance sheet'!F8)),0),"-")</f>
        <v>-</v>
      </c>
      <c r="Z10" s="188" t="s">
        <v>0</v>
      </c>
    </row>
    <row r="11" spans="1:28" ht="15" customHeight="1" x14ac:dyDescent="0.25">
      <c r="B11" s="288" t="s">
        <v>513</v>
      </c>
      <c r="C11" s="622">
        <f>SUM(H14)</f>
        <v>0</v>
      </c>
      <c r="D11" s="338"/>
      <c r="E11" s="288" t="s">
        <v>599</v>
      </c>
      <c r="F11" s="138"/>
      <c r="G11" s="138"/>
      <c r="H11" s="625">
        <f t="shared" si="0"/>
        <v>0</v>
      </c>
      <c r="I11" s="624">
        <f>IF(G18="No", SUM(I58)-SUM(J58:N58),"-")</f>
        <v>0</v>
      </c>
      <c r="J11" s="620" t="str">
        <f>IF(G18="Yes", MIN(SUM(I35)-SUM(J35:N35),0),"-")</f>
        <v>-</v>
      </c>
      <c r="Z11" s="188"/>
    </row>
    <row r="12" spans="1:28" ht="15" customHeight="1" x14ac:dyDescent="0.25">
      <c r="A12" s="548" t="s">
        <v>555</v>
      </c>
      <c r="B12" s="419" t="s">
        <v>390</v>
      </c>
      <c r="C12" s="621">
        <f>SUM(C9:C11)</f>
        <v>0</v>
      </c>
      <c r="D12" s="552" t="s">
        <v>553</v>
      </c>
      <c r="E12" s="419" t="s">
        <v>515</v>
      </c>
      <c r="F12" s="482"/>
      <c r="G12" s="491"/>
      <c r="H12" s="625">
        <f>SUM(H6:H11)</f>
        <v>0</v>
      </c>
      <c r="I12" s="621">
        <f>IF(G18="No",SUM(I6:I11),"-")</f>
        <v>0</v>
      </c>
      <c r="J12" s="591" t="str">
        <f>IF(G18="Yes",SUM(J6:J11),"-")</f>
        <v>-</v>
      </c>
      <c r="Z12" s="188" t="s">
        <v>0</v>
      </c>
    </row>
    <row r="13" spans="1:28" ht="15" customHeight="1" x14ac:dyDescent="0.25">
      <c r="E13" s="288" t="s">
        <v>516</v>
      </c>
      <c r="F13" s="138"/>
      <c r="G13" s="52"/>
      <c r="H13" s="625">
        <f t="shared" si="0"/>
        <v>0</v>
      </c>
      <c r="I13" s="622">
        <f>IF(G18="No",SUM(C50),"-")</f>
        <v>0</v>
      </c>
      <c r="J13" s="620" t="str">
        <f>IF(G18="Yes",SUM(D50),"-")</f>
        <v>-</v>
      </c>
      <c r="Z13" s="188" t="s">
        <v>0</v>
      </c>
    </row>
    <row r="14" spans="1:28" ht="15" customHeight="1" x14ac:dyDescent="0.25">
      <c r="D14" s="548" t="s">
        <v>577</v>
      </c>
      <c r="E14" s="419" t="s">
        <v>513</v>
      </c>
      <c r="F14" s="482"/>
      <c r="G14" s="491"/>
      <c r="H14" s="621">
        <f>SUM(H12:H13)</f>
        <v>0</v>
      </c>
      <c r="I14" s="621">
        <f>IF(G18="No",SUM(I12:I13),"-")</f>
        <v>0</v>
      </c>
      <c r="J14" s="591" t="str">
        <f>IF(G18="Yes",SUM(J12:J13),"-")</f>
        <v>-</v>
      </c>
      <c r="Z14" s="188" t="s">
        <v>0</v>
      </c>
    </row>
    <row r="15" spans="1:28" ht="15" customHeight="1" x14ac:dyDescent="0.25">
      <c r="Z15" s="188"/>
    </row>
    <row r="16" spans="1:28" ht="15" customHeight="1" x14ac:dyDescent="0.25">
      <c r="Z16" s="188" t="s">
        <v>0</v>
      </c>
    </row>
    <row r="17" spans="1:26" ht="15" customHeight="1" x14ac:dyDescent="0.25">
      <c r="B17" s="186" t="s">
        <v>556</v>
      </c>
      <c r="C17" s="186"/>
      <c r="D17" s="186"/>
      <c r="E17" s="186"/>
      <c r="F17" s="186"/>
      <c r="G17" s="186"/>
      <c r="Z17" s="188" t="s">
        <v>0</v>
      </c>
    </row>
    <row r="18" spans="1:26" ht="15" customHeight="1" x14ac:dyDescent="0.25">
      <c r="A18" s="548" t="s">
        <v>578</v>
      </c>
      <c r="B18" s="490" t="s">
        <v>110</v>
      </c>
      <c r="C18" s="482"/>
      <c r="D18" s="482"/>
      <c r="E18" s="482"/>
      <c r="F18" s="482"/>
      <c r="G18" s="539" t="s">
        <v>19</v>
      </c>
      <c r="K18"/>
      <c r="L18"/>
      <c r="M18"/>
      <c r="N18"/>
      <c r="Z18" s="188" t="s">
        <v>0</v>
      </c>
    </row>
    <row r="19" spans="1:26" ht="15" customHeight="1" x14ac:dyDescent="0.25">
      <c r="B19" s="537"/>
      <c r="C19" s="338"/>
      <c r="D19" s="338"/>
      <c r="E19" s="338"/>
      <c r="F19" s="338"/>
      <c r="G19" s="338"/>
      <c r="H19" s="338"/>
      <c r="I19" s="538"/>
      <c r="K19"/>
      <c r="L19"/>
      <c r="M19"/>
      <c r="N19"/>
      <c r="Z19" s="188" t="s">
        <v>0</v>
      </c>
    </row>
    <row r="20" spans="1:26" ht="15" customHeight="1" x14ac:dyDescent="0.25">
      <c r="K20"/>
      <c r="L20"/>
      <c r="M20"/>
      <c r="N20"/>
      <c r="Z20" s="188" t="s">
        <v>0</v>
      </c>
    </row>
    <row r="21" spans="1:26" ht="15" customHeight="1" x14ac:dyDescent="0.25">
      <c r="B21" s="185" t="s">
        <v>508</v>
      </c>
      <c r="C21" s="185"/>
      <c r="D21" s="185"/>
      <c r="E21" s="528"/>
      <c r="K21"/>
      <c r="L21"/>
      <c r="M21"/>
      <c r="N21"/>
      <c r="Z21" s="188" t="s">
        <v>0</v>
      </c>
    </row>
    <row r="22" spans="1:26" ht="15" customHeight="1" x14ac:dyDescent="0.25">
      <c r="B22" s="63"/>
      <c r="C22" s="529" t="s">
        <v>509</v>
      </c>
      <c r="D22" s="535" t="s">
        <v>510</v>
      </c>
      <c r="E22" s="177"/>
      <c r="K22"/>
      <c r="L22"/>
      <c r="M22"/>
      <c r="N22"/>
      <c r="Z22" s="188" t="s">
        <v>0</v>
      </c>
    </row>
    <row r="23" spans="1:26" ht="15" customHeight="1" x14ac:dyDescent="0.25">
      <c r="B23" s="426" t="s">
        <v>123</v>
      </c>
      <c r="C23" s="627">
        <f>SUM('Balance sheet'!F14)</f>
        <v>0</v>
      </c>
      <c r="D23" s="590">
        <f>C23</f>
        <v>0</v>
      </c>
      <c r="E23" s="528"/>
      <c r="K23"/>
      <c r="L23"/>
      <c r="M23"/>
      <c r="N23"/>
      <c r="Z23" s="188" t="s">
        <v>0</v>
      </c>
    </row>
    <row r="24" spans="1:26" ht="15" customHeight="1" x14ac:dyDescent="0.25">
      <c r="B24" s="426" t="s">
        <v>124</v>
      </c>
      <c r="C24" s="628">
        <f>SUM('Balance sheet'!F16)</f>
        <v>0</v>
      </c>
      <c r="D24" s="620">
        <f>C24</f>
        <v>0</v>
      </c>
      <c r="E24" s="192"/>
      <c r="K24"/>
      <c r="L24"/>
      <c r="M24"/>
      <c r="N24"/>
      <c r="Z24" s="188" t="s">
        <v>0</v>
      </c>
    </row>
    <row r="25" spans="1:26" ht="15" customHeight="1" x14ac:dyDescent="0.25">
      <c r="A25" s="548" t="s">
        <v>579</v>
      </c>
      <c r="B25" s="426" t="s">
        <v>7</v>
      </c>
      <c r="C25" s="536" t="s">
        <v>5</v>
      </c>
      <c r="D25" s="620">
        <f>SUM(C25)-SUM('Balance sheet'!C7)</f>
        <v>0</v>
      </c>
      <c r="E25" s="192"/>
      <c r="K25"/>
      <c r="L25"/>
      <c r="M25"/>
      <c r="N25"/>
      <c r="Z25" s="188" t="s">
        <v>0</v>
      </c>
    </row>
    <row r="26" spans="1:26" ht="15" customHeight="1" x14ac:dyDescent="0.25">
      <c r="A26" s="548" t="s">
        <v>548</v>
      </c>
      <c r="B26" s="419" t="s">
        <v>21</v>
      </c>
      <c r="C26" s="588" t="s">
        <v>5</v>
      </c>
      <c r="D26" s="626">
        <f>SUM(C26)-SUM('Balance sheet'!C10)</f>
        <v>0</v>
      </c>
      <c r="E26" s="192"/>
      <c r="K26"/>
      <c r="L26"/>
      <c r="M26"/>
      <c r="N26"/>
      <c r="Z26" s="188" t="s">
        <v>0</v>
      </c>
    </row>
    <row r="27" spans="1:26" ht="15" customHeight="1" x14ac:dyDescent="0.25">
      <c r="B27" s="191"/>
      <c r="C27" s="192"/>
      <c r="D27" s="193"/>
      <c r="K27"/>
      <c r="L27"/>
      <c r="M27"/>
      <c r="N27"/>
      <c r="Z27" s="188" t="s">
        <v>0</v>
      </c>
    </row>
    <row r="28" spans="1:26" ht="15" customHeight="1" x14ac:dyDescent="0.25">
      <c r="B28" s="554" t="s">
        <v>507</v>
      </c>
      <c r="C28" s="24"/>
      <c r="D28" s="555"/>
      <c r="E28" s="555"/>
      <c r="F28" s="555"/>
      <c r="G28" s="555"/>
      <c r="H28" s="555"/>
      <c r="I28" s="555"/>
      <c r="J28" s="555"/>
      <c r="K28" s="555"/>
      <c r="L28" s="555"/>
      <c r="M28" s="555"/>
      <c r="N28" s="555"/>
      <c r="O28" s="555"/>
      <c r="P28" s="555"/>
      <c r="Q28" s="555"/>
      <c r="R28" s="555"/>
      <c r="S28" s="555"/>
      <c r="T28" s="555"/>
      <c r="U28" s="555"/>
      <c r="V28" s="555"/>
      <c r="W28" s="555"/>
      <c r="X28" s="556"/>
      <c r="Z28" s="188" t="s">
        <v>0</v>
      </c>
    </row>
    <row r="29" spans="1:26" ht="15" customHeight="1" x14ac:dyDescent="0.25">
      <c r="B29" s="288" t="s">
        <v>563</v>
      </c>
      <c r="C29" s="590" t="str">
        <f>IF($G$18="Yes",SUM(O58),"-")</f>
        <v>-</v>
      </c>
      <c r="D29" s="629" t="str">
        <f>IF($G$18="Yes",IF(OR(SUM(C30)&lt;SUM(C29)-0.5,SUM(C30)&gt;SUM(C29)+0.5),"ALERT: Implemented shock deviates from prescribed shock!",""),"")</f>
        <v/>
      </c>
      <c r="E29" s="519"/>
      <c r="F29" s="519"/>
      <c r="G29" s="519"/>
      <c r="H29" s="519"/>
      <c r="I29" s="519"/>
      <c r="J29" s="519"/>
      <c r="K29" s="519"/>
      <c r="L29" s="519"/>
      <c r="M29" s="519"/>
      <c r="N29" s="519"/>
      <c r="O29" s="519"/>
      <c r="P29" s="519"/>
      <c r="Q29" s="519"/>
      <c r="R29" s="519"/>
      <c r="S29" s="519"/>
      <c r="T29" s="519"/>
      <c r="U29" s="519"/>
      <c r="V29" s="519"/>
      <c r="W29" s="519"/>
      <c r="X29" s="519"/>
      <c r="Z29" s="188"/>
    </row>
    <row r="30" spans="1:26" ht="15" customHeight="1" x14ac:dyDescent="0.25">
      <c r="B30" s="288" t="s">
        <v>564</v>
      </c>
      <c r="C30" s="626" t="str">
        <f>IF($G$18="Yes",MAX(SUM(C42)-SUM(O42),0),"-")</f>
        <v>-</v>
      </c>
      <c r="D30" s="256"/>
      <c r="E30" s="256"/>
      <c r="F30" s="256"/>
      <c r="G30" s="256"/>
      <c r="H30" s="256"/>
      <c r="I30" s="256"/>
      <c r="J30" s="256"/>
      <c r="K30" s="256"/>
      <c r="L30" s="256"/>
      <c r="M30" s="256"/>
      <c r="N30" s="256"/>
      <c r="O30" s="256"/>
      <c r="P30" s="256"/>
      <c r="Q30" s="256"/>
      <c r="R30" s="256"/>
      <c r="S30" s="256"/>
      <c r="T30" s="256"/>
      <c r="U30" s="256"/>
      <c r="V30" s="256"/>
      <c r="W30" s="256"/>
      <c r="X30" s="256"/>
      <c r="Z30" s="188" t="s">
        <v>0</v>
      </c>
    </row>
    <row r="31" spans="1:26" ht="15" customHeight="1" x14ac:dyDescent="0.25">
      <c r="B31" s="99" t="s">
        <v>519</v>
      </c>
      <c r="C31" s="565"/>
      <c r="D31" s="24"/>
      <c r="E31" s="24"/>
      <c r="F31" s="24"/>
      <c r="G31" s="24"/>
      <c r="H31" s="24"/>
      <c r="I31" s="24"/>
      <c r="J31" s="24"/>
      <c r="K31" s="24"/>
      <c r="L31" s="24"/>
      <c r="M31" s="24"/>
      <c r="N31" s="24"/>
      <c r="O31" s="100"/>
      <c r="Z31" s="188" t="s">
        <v>0</v>
      </c>
    </row>
    <row r="32" spans="1:26" ht="15" customHeight="1" x14ac:dyDescent="0.25">
      <c r="B32" s="144"/>
      <c r="C32" s="510" t="s">
        <v>387</v>
      </c>
      <c r="D32" s="522" t="s">
        <v>495</v>
      </c>
      <c r="E32" s="425"/>
      <c r="F32" s="425"/>
      <c r="G32" s="425"/>
      <c r="H32" s="425"/>
      <c r="I32" s="510" t="s">
        <v>493</v>
      </c>
      <c r="J32" s="425" t="s">
        <v>494</v>
      </c>
      <c r="K32" s="425"/>
      <c r="L32" s="425"/>
      <c r="M32" s="425"/>
      <c r="N32" s="425"/>
      <c r="O32" s="510" t="s">
        <v>388</v>
      </c>
      <c r="Z32" s="188" t="s">
        <v>0</v>
      </c>
    </row>
    <row r="33" spans="1:26" ht="15" customHeight="1" x14ac:dyDescent="0.25">
      <c r="B33" s="145"/>
      <c r="C33" s="64"/>
      <c r="D33" s="505" t="s">
        <v>225</v>
      </c>
      <c r="E33" s="505" t="s">
        <v>226</v>
      </c>
      <c r="F33" s="505" t="s">
        <v>496</v>
      </c>
      <c r="G33" s="505" t="s">
        <v>497</v>
      </c>
      <c r="H33" s="505" t="s">
        <v>490</v>
      </c>
      <c r="I33" s="64"/>
      <c r="J33" s="505" t="s">
        <v>225</v>
      </c>
      <c r="K33" s="505" t="s">
        <v>226</v>
      </c>
      <c r="L33" s="505" t="s">
        <v>496</v>
      </c>
      <c r="M33" s="505" t="s">
        <v>497</v>
      </c>
      <c r="N33" s="505" t="s">
        <v>490</v>
      </c>
      <c r="O33" s="64"/>
      <c r="Z33" s="188" t="s">
        <v>0</v>
      </c>
    </row>
    <row r="34" spans="1:26" ht="15" customHeight="1" x14ac:dyDescent="0.25">
      <c r="B34" s="57"/>
      <c r="C34" s="86"/>
      <c r="D34" s="505" t="s">
        <v>86</v>
      </c>
      <c r="E34" s="505" t="s">
        <v>86</v>
      </c>
      <c r="F34" s="505" t="s">
        <v>489</v>
      </c>
      <c r="G34" s="505"/>
      <c r="H34" s="505" t="s">
        <v>87</v>
      </c>
      <c r="I34" s="64"/>
      <c r="J34" s="505" t="s">
        <v>86</v>
      </c>
      <c r="K34" s="505" t="s">
        <v>86</v>
      </c>
      <c r="L34" s="505" t="s">
        <v>489</v>
      </c>
      <c r="M34" s="505"/>
      <c r="N34" s="505" t="s">
        <v>87</v>
      </c>
      <c r="O34" s="64"/>
      <c r="Z34" s="188" t="s">
        <v>0</v>
      </c>
    </row>
    <row r="35" spans="1:26" ht="15" customHeight="1" x14ac:dyDescent="0.25">
      <c r="B35" s="212" t="s">
        <v>506</v>
      </c>
      <c r="C35" s="630" t="str">
        <f>IF($G$18="Yes",MAX(SUM(C43)-SUM(O43),0),"-")</f>
        <v>-</v>
      </c>
      <c r="D35" s="631" t="str">
        <f>IF($G$18="Yes",MAX(SUM(O35)+SUM(R43)-SUM(R42),0),"-")</f>
        <v>-</v>
      </c>
      <c r="E35" s="632" t="str">
        <f>IF($G$18="Yes",MAX(SUM(O35)+SUM(S43)-SUM(S42),0),"-")</f>
        <v>-</v>
      </c>
      <c r="F35" s="633" t="str">
        <f>IF($G$18="Yes",MAX(SUM(O35)+SUM(E42:F42)-SUM(E43:F43),0),"-")</f>
        <v>-</v>
      </c>
      <c r="G35" s="633" t="str">
        <f>IF($G$18="Yes",MAX(SUM(O35)+SUM(G42)-SUM(G43),0),"-")</f>
        <v>-</v>
      </c>
      <c r="H35" s="630" t="str">
        <f>IF($G$18="Yes",MAX(SUM(O35)+SUM(T43:U43)-SUM(T42:U42),0),"-")</f>
        <v>-</v>
      </c>
      <c r="I35" s="634" t="str">
        <f>IF($G$18="Yes",SUM(C35)-SUM(O35),"-")</f>
        <v>-</v>
      </c>
      <c r="J35" s="631" t="str">
        <f>IF($G$18="Yes",SUM(D35)-SUM($O35),"-")</f>
        <v>-</v>
      </c>
      <c r="K35" s="633" t="str">
        <f>IF($G$18="Yes",SUM(E35)-SUM($O35),"-")</f>
        <v>-</v>
      </c>
      <c r="L35" s="633" t="str">
        <f>IF($G$18="Yes",SUM(F35)-SUM($O35),"-")</f>
        <v>-</v>
      </c>
      <c r="M35" s="633" t="str">
        <f>IF($G$18="Yes",SUM(G35)-SUM($O35),"-")</f>
        <v>-</v>
      </c>
      <c r="N35" s="633" t="str">
        <f>IF($G$18="Yes",SUM(H35)-SUM($O35),"-")</f>
        <v>-</v>
      </c>
      <c r="O35" s="635" t="str">
        <f>IF($G$18="Yes",O58,"-")</f>
        <v>-</v>
      </c>
      <c r="Z35" s="188" t="s">
        <v>0</v>
      </c>
    </row>
    <row r="36" spans="1:26" ht="15" customHeight="1" x14ac:dyDescent="0.25">
      <c r="B36" s="62"/>
      <c r="C36" s="31"/>
      <c r="D36" s="31"/>
      <c r="E36" s="31"/>
      <c r="F36" s="31"/>
      <c r="G36" s="31"/>
      <c r="H36" s="31"/>
      <c r="I36" s="31"/>
      <c r="J36" s="31"/>
      <c r="K36" s="31"/>
      <c r="L36" s="31"/>
      <c r="M36" s="31"/>
      <c r="N36" s="31"/>
      <c r="O36" s="31"/>
      <c r="P36" s="47"/>
      <c r="Q36" s="47"/>
      <c r="R36" s="47"/>
      <c r="S36" s="47"/>
      <c r="T36" s="47"/>
      <c r="U36" s="47"/>
      <c r="V36" s="47"/>
      <c r="W36" s="47"/>
      <c r="X36" s="48"/>
      <c r="Z36" s="188" t="s">
        <v>0</v>
      </c>
    </row>
    <row r="37" spans="1:26" ht="15" customHeight="1" x14ac:dyDescent="0.25">
      <c r="B37" s="487"/>
      <c r="C37" s="488" t="s">
        <v>68</v>
      </c>
      <c r="D37" s="488"/>
      <c r="E37" s="488" t="s">
        <v>223</v>
      </c>
      <c r="F37" s="488"/>
      <c r="G37" s="488"/>
      <c r="H37" s="488"/>
      <c r="I37" s="488"/>
      <c r="J37" s="488"/>
      <c r="K37" s="488"/>
      <c r="L37" s="488"/>
      <c r="M37" s="488"/>
      <c r="N37" s="488"/>
      <c r="O37" s="488" t="s">
        <v>224</v>
      </c>
      <c r="P37" s="488"/>
      <c r="Q37" s="488"/>
      <c r="R37" s="488"/>
      <c r="S37" s="488"/>
      <c r="T37" s="488"/>
      <c r="U37" s="488"/>
      <c r="V37" s="488"/>
      <c r="W37" s="488"/>
      <c r="X37" s="489"/>
      <c r="Z37" s="188" t="s">
        <v>0</v>
      </c>
    </row>
    <row r="38" spans="1:26" ht="15" customHeight="1" x14ac:dyDescent="0.25">
      <c r="B38" s="134"/>
      <c r="C38" s="74" t="s">
        <v>69</v>
      </c>
      <c r="D38" s="74" t="s">
        <v>98</v>
      </c>
      <c r="E38" s="754" t="s">
        <v>82</v>
      </c>
      <c r="F38" s="755"/>
      <c r="G38" s="158" t="s">
        <v>65</v>
      </c>
      <c r="H38" s="159" t="s">
        <v>72</v>
      </c>
      <c r="I38" s="159" t="s">
        <v>75</v>
      </c>
      <c r="J38" s="159" t="s">
        <v>80</v>
      </c>
      <c r="K38" s="159" t="s">
        <v>78</v>
      </c>
      <c r="L38" s="160" t="s">
        <v>8</v>
      </c>
      <c r="M38" s="74" t="s">
        <v>83</v>
      </c>
      <c r="N38" s="33"/>
      <c r="O38" s="74" t="s">
        <v>69</v>
      </c>
      <c r="P38" s="74" t="s">
        <v>14</v>
      </c>
      <c r="Q38" s="490" t="s">
        <v>105</v>
      </c>
      <c r="R38" s="492"/>
      <c r="S38" s="492"/>
      <c r="T38" s="492"/>
      <c r="U38" s="493"/>
      <c r="V38" s="74" t="s">
        <v>92</v>
      </c>
      <c r="W38" s="159" t="s">
        <v>93</v>
      </c>
      <c r="X38" s="160" t="s">
        <v>94</v>
      </c>
      <c r="Z38" s="188" t="s">
        <v>0</v>
      </c>
    </row>
    <row r="39" spans="1:26" ht="15" customHeight="1" x14ac:dyDescent="0.25">
      <c r="B39" s="137"/>
      <c r="C39" s="75" t="s">
        <v>70</v>
      </c>
      <c r="D39" s="157" t="s">
        <v>99</v>
      </c>
      <c r="E39" s="161" t="s">
        <v>62</v>
      </c>
      <c r="F39" s="162" t="s">
        <v>64</v>
      </c>
      <c r="G39" s="163" t="s">
        <v>66</v>
      </c>
      <c r="H39" s="164" t="s">
        <v>73</v>
      </c>
      <c r="I39" s="164" t="s">
        <v>76</v>
      </c>
      <c r="J39" s="164" t="s">
        <v>81</v>
      </c>
      <c r="K39" s="164" t="s">
        <v>79</v>
      </c>
      <c r="L39" s="165"/>
      <c r="M39" s="75" t="s">
        <v>85</v>
      </c>
      <c r="N39" s="130"/>
      <c r="O39" s="75" t="s">
        <v>70</v>
      </c>
      <c r="P39" s="75"/>
      <c r="Q39" s="161" t="s">
        <v>84</v>
      </c>
      <c r="R39" s="172" t="s">
        <v>225</v>
      </c>
      <c r="S39" s="172" t="s">
        <v>226</v>
      </c>
      <c r="T39" s="172" t="s">
        <v>97</v>
      </c>
      <c r="U39" s="162" t="s">
        <v>89</v>
      </c>
      <c r="V39" s="75" t="s">
        <v>71</v>
      </c>
      <c r="W39" s="164" t="s">
        <v>71</v>
      </c>
      <c r="X39" s="165" t="s">
        <v>71</v>
      </c>
      <c r="Z39" s="188" t="s">
        <v>0</v>
      </c>
    </row>
    <row r="40" spans="1:26" ht="15" customHeight="1" x14ac:dyDescent="0.25">
      <c r="B40" s="137"/>
      <c r="C40" s="75" t="s">
        <v>71</v>
      </c>
      <c r="D40" s="75" t="s">
        <v>100</v>
      </c>
      <c r="E40" s="161" t="s">
        <v>63</v>
      </c>
      <c r="F40" s="162" t="s">
        <v>63</v>
      </c>
      <c r="G40" s="163" t="s">
        <v>67</v>
      </c>
      <c r="H40" s="164" t="s">
        <v>74</v>
      </c>
      <c r="I40" s="164" t="s">
        <v>77</v>
      </c>
      <c r="J40" s="164"/>
      <c r="K40" s="164"/>
      <c r="L40" s="165"/>
      <c r="M40" s="75"/>
      <c r="N40" s="130"/>
      <c r="O40" s="75" t="s">
        <v>71</v>
      </c>
      <c r="P40" s="75"/>
      <c r="Q40" s="161" t="s">
        <v>86</v>
      </c>
      <c r="R40" s="172" t="s">
        <v>86</v>
      </c>
      <c r="S40" s="172" t="s">
        <v>86</v>
      </c>
      <c r="T40" s="172" t="s">
        <v>88</v>
      </c>
      <c r="U40" s="162" t="s">
        <v>90</v>
      </c>
      <c r="V40" s="75"/>
      <c r="W40" s="164"/>
      <c r="X40" s="165"/>
      <c r="Z40" s="188" t="s">
        <v>0</v>
      </c>
    </row>
    <row r="41" spans="1:26" ht="15" customHeight="1" x14ac:dyDescent="0.25">
      <c r="B41" s="139"/>
      <c r="C41" s="76"/>
      <c r="D41" s="76" t="s">
        <v>101</v>
      </c>
      <c r="E41" s="163"/>
      <c r="F41" s="165"/>
      <c r="G41" s="163"/>
      <c r="H41" s="164"/>
      <c r="I41" s="164"/>
      <c r="J41" s="164"/>
      <c r="K41" s="164"/>
      <c r="L41" s="165"/>
      <c r="M41" s="76"/>
      <c r="N41" s="130"/>
      <c r="O41" s="76"/>
      <c r="P41" s="76"/>
      <c r="Q41" s="161"/>
      <c r="R41" s="172"/>
      <c r="S41" s="172"/>
      <c r="T41" s="172" t="s">
        <v>87</v>
      </c>
      <c r="U41" s="162" t="s">
        <v>91</v>
      </c>
      <c r="V41" s="76"/>
      <c r="W41" s="167"/>
      <c r="X41" s="55"/>
      <c r="Z41" s="188" t="s">
        <v>0</v>
      </c>
    </row>
    <row r="42" spans="1:26" ht="15" customHeight="1" x14ac:dyDescent="0.25">
      <c r="A42" s="548" t="s">
        <v>578</v>
      </c>
      <c r="B42" s="223" t="s">
        <v>506</v>
      </c>
      <c r="C42" s="590" t="str">
        <f>IF($G$18="Yes",SUM('Balance sheet'!$F$8),"-")</f>
        <v>-</v>
      </c>
      <c r="D42" s="145" t="s">
        <v>95</v>
      </c>
      <c r="E42" s="460" t="s">
        <v>5</v>
      </c>
      <c r="F42" s="465" t="s">
        <v>5</v>
      </c>
      <c r="G42" s="462" t="s">
        <v>5</v>
      </c>
      <c r="H42" s="462" t="s">
        <v>5</v>
      </c>
      <c r="I42" s="462" t="s">
        <v>5</v>
      </c>
      <c r="J42" s="462" t="s">
        <v>5</v>
      </c>
      <c r="K42" s="462" t="s">
        <v>5</v>
      </c>
      <c r="L42" s="465" t="s">
        <v>5</v>
      </c>
      <c r="M42" s="636" t="str">
        <f>IF($G$18="Yes",SUM(E42:L42),"-")</f>
        <v>-</v>
      </c>
      <c r="N42" s="130"/>
      <c r="O42" s="590" t="str">
        <f>IF($G$18="Yes",IF(M42&gt;0,SUM(M42)-SUM(P42:X42),C42),"-")</f>
        <v>-</v>
      </c>
      <c r="P42" s="628" t="str">
        <f>IF($G$18="Yes",SUM('Balance sheet'!$F$11),"-")</f>
        <v>-</v>
      </c>
      <c r="Q42" s="460" t="s">
        <v>5</v>
      </c>
      <c r="R42" s="66" t="s">
        <v>5</v>
      </c>
      <c r="S42" s="66" t="s">
        <v>5</v>
      </c>
      <c r="T42" s="66" t="s">
        <v>5</v>
      </c>
      <c r="U42" s="67" t="s">
        <v>5</v>
      </c>
      <c r="V42" s="639" t="str">
        <f>IF($G$18="Yes",SUM(J42),"-")</f>
        <v>-</v>
      </c>
      <c r="W42" s="170" t="s">
        <v>5</v>
      </c>
      <c r="X42" s="169" t="s">
        <v>5</v>
      </c>
      <c r="Z42" s="188" t="s">
        <v>0</v>
      </c>
    </row>
    <row r="43" spans="1:26" ht="15" customHeight="1" x14ac:dyDescent="0.25">
      <c r="B43" s="139"/>
      <c r="C43" s="626" t="str">
        <f>IF($G$18="Yes",SUM('Balance sheet'!$F$8),"-")</f>
        <v>-</v>
      </c>
      <c r="D43" s="57" t="s">
        <v>96</v>
      </c>
      <c r="E43" s="459" t="s">
        <v>5</v>
      </c>
      <c r="F43" s="464" t="s">
        <v>5</v>
      </c>
      <c r="G43" s="340" t="s">
        <v>5</v>
      </c>
      <c r="H43" s="340" t="s">
        <v>5</v>
      </c>
      <c r="I43" s="340" t="s">
        <v>5</v>
      </c>
      <c r="J43" s="340" t="s">
        <v>5</v>
      </c>
      <c r="K43" s="340" t="s">
        <v>5</v>
      </c>
      <c r="L43" s="464" t="s">
        <v>5</v>
      </c>
      <c r="M43" s="637" t="str">
        <f>IF($G$18="Yes",SUM(E43:L43),"-")</f>
        <v>-</v>
      </c>
      <c r="N43" s="34"/>
      <c r="O43" s="626" t="str">
        <f>IF($G$18="Yes",IF(M43&gt;0,SUM(M43)-SUM(P43:X43),C43),"-")</f>
        <v>-</v>
      </c>
      <c r="P43" s="638" t="str">
        <f>IF($G$18="Yes",SUM('Balance sheet'!$F$11),"-")</f>
        <v>-</v>
      </c>
      <c r="Q43" s="466" t="s">
        <v>5</v>
      </c>
      <c r="R43" s="69" t="s">
        <v>5</v>
      </c>
      <c r="S43" s="69" t="s">
        <v>5</v>
      </c>
      <c r="T43" s="69" t="s">
        <v>5</v>
      </c>
      <c r="U43" s="70" t="s">
        <v>5</v>
      </c>
      <c r="V43" s="637" t="str">
        <f>IF($G$18="Yes",SUM(J43),"-")</f>
        <v>-</v>
      </c>
      <c r="W43" s="69" t="s">
        <v>5</v>
      </c>
      <c r="X43" s="70" t="s">
        <v>5</v>
      </c>
      <c r="Z43" s="188" t="s">
        <v>0</v>
      </c>
    </row>
    <row r="44" spans="1:26" ht="15" customHeight="1" x14ac:dyDescent="0.25">
      <c r="B44" s="193"/>
      <c r="C44" s="193"/>
      <c r="D44" s="193"/>
      <c r="K44"/>
      <c r="L44"/>
      <c r="M44"/>
      <c r="N44"/>
      <c r="Z44" s="188" t="s">
        <v>0</v>
      </c>
    </row>
    <row r="45" spans="1:26" ht="15" customHeight="1" x14ac:dyDescent="0.25">
      <c r="K45"/>
      <c r="L45"/>
      <c r="M45"/>
      <c r="N45"/>
      <c r="Z45" s="188" t="s">
        <v>0</v>
      </c>
    </row>
    <row r="46" spans="1:26" ht="15" customHeight="1" x14ac:dyDescent="0.25">
      <c r="B46" s="185" t="s">
        <v>511</v>
      </c>
      <c r="C46" s="187"/>
      <c r="D46" s="528"/>
      <c r="E46" s="528"/>
      <c r="G46" s="528"/>
      <c r="H46" s="525"/>
      <c r="I46" s="528"/>
      <c r="J46" s="528"/>
      <c r="K46" s="528"/>
      <c r="Z46" s="188" t="s">
        <v>0</v>
      </c>
    </row>
    <row r="47" spans="1:26" ht="15" customHeight="1" x14ac:dyDescent="0.25">
      <c r="B47" s="288" t="s">
        <v>325</v>
      </c>
      <c r="C47" s="590">
        <f>SUM('Balance sheet'!C20)-SUM('Balance sheet'!F20)</f>
        <v>0</v>
      </c>
      <c r="D47" s="338"/>
      <c r="E47" s="338"/>
      <c r="G47" s="525"/>
      <c r="H47" s="525"/>
      <c r="I47" s="338"/>
      <c r="J47" s="338"/>
      <c r="K47" s="338"/>
      <c r="Z47" s="188" t="s">
        <v>0</v>
      </c>
    </row>
    <row r="48" spans="1:26" ht="15" customHeight="1" x14ac:dyDescent="0.25">
      <c r="B48" s="288" t="s">
        <v>391</v>
      </c>
      <c r="C48" s="620">
        <f>SUM(C9)+SUM(H12)+SUM(C10)</f>
        <v>0</v>
      </c>
      <c r="D48" s="338"/>
      <c r="E48" s="338"/>
      <c r="G48" s="525"/>
      <c r="H48" s="525"/>
      <c r="I48" s="338"/>
      <c r="J48" s="338"/>
      <c r="K48" s="338"/>
      <c r="N48" s="150"/>
      <c r="O48" s="534" t="s">
        <v>23</v>
      </c>
      <c r="P48" s="153" t="s">
        <v>485</v>
      </c>
      <c r="Q48" s="154" t="s">
        <v>24</v>
      </c>
      <c r="R48" s="178"/>
      <c r="S48" s="178"/>
      <c r="T48" s="178"/>
      <c r="U48" s="178"/>
      <c r="V48" s="178"/>
      <c r="W48" s="178"/>
      <c r="X48" s="178"/>
      <c r="Z48" s="188" t="s">
        <v>0</v>
      </c>
    </row>
    <row r="49" spans="1:26" ht="15" customHeight="1" x14ac:dyDescent="0.25">
      <c r="B49" s="145" t="s">
        <v>31</v>
      </c>
      <c r="C49" s="45" t="s">
        <v>5</v>
      </c>
      <c r="D49" s="338"/>
      <c r="E49" s="338"/>
      <c r="G49" s="518"/>
      <c r="H49" s="525"/>
      <c r="I49" s="338"/>
      <c r="J49" s="338"/>
      <c r="K49" s="338"/>
      <c r="N49" s="151" t="s">
        <v>23</v>
      </c>
      <c r="O49" s="217">
        <v>1</v>
      </c>
      <c r="P49" s="217">
        <v>0.25</v>
      </c>
      <c r="Q49" s="218">
        <v>0.25</v>
      </c>
      <c r="R49" s="401"/>
      <c r="S49" s="401"/>
      <c r="T49" s="401"/>
      <c r="U49" s="401"/>
      <c r="V49" s="401"/>
      <c r="W49" s="401"/>
      <c r="X49" s="401"/>
      <c r="Z49" s="188" t="s">
        <v>0</v>
      </c>
    </row>
    <row r="50" spans="1:26" ht="15" customHeight="1" x14ac:dyDescent="0.25">
      <c r="A50" s="548" t="s">
        <v>580</v>
      </c>
      <c r="B50" s="190" t="s">
        <v>523</v>
      </c>
      <c r="C50" s="635">
        <f>MIN(SUM(C47)-SUM(C49),0)</f>
        <v>0</v>
      </c>
      <c r="D50" s="338"/>
      <c r="E50" s="338"/>
      <c r="G50" s="525"/>
      <c r="H50" s="525"/>
      <c r="I50" s="338"/>
      <c r="J50" s="338"/>
      <c r="K50" s="338"/>
      <c r="N50" s="151" t="s">
        <v>485</v>
      </c>
      <c r="O50" s="217">
        <v>0.25</v>
      </c>
      <c r="P50" s="217">
        <v>1</v>
      </c>
      <c r="Q50" s="218">
        <v>0.25</v>
      </c>
      <c r="R50" s="401"/>
      <c r="S50" s="401"/>
      <c r="T50" s="401"/>
      <c r="U50" s="401"/>
      <c r="V50" s="401"/>
      <c r="W50" s="401"/>
      <c r="X50" s="401"/>
      <c r="Z50" s="188" t="s">
        <v>0</v>
      </c>
    </row>
    <row r="51" spans="1:26" ht="15" customHeight="1" x14ac:dyDescent="0.25">
      <c r="B51" s="338"/>
      <c r="C51" s="525"/>
      <c r="D51" s="338"/>
      <c r="E51" s="338"/>
      <c r="G51" s="525"/>
      <c r="H51" s="525"/>
      <c r="I51" s="338"/>
      <c r="J51" s="338"/>
      <c r="K51" s="338"/>
      <c r="N51" s="152" t="s">
        <v>24</v>
      </c>
      <c r="O51" s="219">
        <v>0.25</v>
      </c>
      <c r="P51" s="219">
        <v>0.25</v>
      </c>
      <c r="Q51" s="220">
        <v>1</v>
      </c>
      <c r="R51" s="401"/>
      <c r="S51" s="401"/>
      <c r="T51" s="401"/>
      <c r="U51" s="401"/>
      <c r="V51" s="401"/>
      <c r="W51" s="401"/>
      <c r="X51" s="401"/>
      <c r="Z51" s="188" t="s">
        <v>0</v>
      </c>
    </row>
    <row r="52" spans="1:26" ht="15" customHeight="1" x14ac:dyDescent="0.25">
      <c r="A52" s="369"/>
      <c r="B52" s="412"/>
      <c r="C52" s="412"/>
      <c r="D52" s="412"/>
      <c r="E52" s="412"/>
      <c r="F52" s="413"/>
      <c r="G52" s="414"/>
      <c r="H52" s="369"/>
      <c r="I52" s="369"/>
      <c r="R52" s="193"/>
      <c r="S52" s="193"/>
      <c r="T52" s="193"/>
      <c r="U52" s="193"/>
      <c r="V52" s="193"/>
      <c r="W52" s="193"/>
      <c r="X52" s="193"/>
      <c r="Z52" s="188" t="s">
        <v>0</v>
      </c>
    </row>
    <row r="53" spans="1:26" ht="15" customHeight="1" x14ac:dyDescent="0.25">
      <c r="R53" s="193"/>
      <c r="S53" s="193"/>
      <c r="T53" s="193"/>
      <c r="U53" s="193"/>
      <c r="V53" s="193"/>
      <c r="W53" s="193"/>
      <c r="X53" s="193"/>
      <c r="Z53" s="188" t="s">
        <v>0</v>
      </c>
    </row>
    <row r="54" spans="1:26" ht="15" customHeight="1" x14ac:dyDescent="0.25">
      <c r="B54" s="185" t="s">
        <v>505</v>
      </c>
      <c r="C54" s="186"/>
      <c r="D54" s="186"/>
      <c r="E54" s="186"/>
      <c r="F54" s="186"/>
      <c r="G54" s="186"/>
      <c r="H54" s="186"/>
      <c r="I54" s="186"/>
      <c r="J54" s="186"/>
      <c r="K54" s="186"/>
      <c r="L54" s="186"/>
      <c r="M54" s="186"/>
      <c r="N54" s="186"/>
      <c r="O54" s="186"/>
      <c r="P54" s="186"/>
      <c r="Q54" s="187"/>
      <c r="R54" s="528"/>
      <c r="S54" s="528"/>
      <c r="T54" s="528"/>
      <c r="U54" s="528"/>
      <c r="V54" s="528"/>
      <c r="W54" s="528"/>
      <c r="X54" s="528"/>
      <c r="Z54" s="188" t="s">
        <v>0</v>
      </c>
    </row>
    <row r="55" spans="1:26" ht="15" customHeight="1" x14ac:dyDescent="0.25">
      <c r="B55" s="532"/>
      <c r="C55" s="510" t="s">
        <v>387</v>
      </c>
      <c r="D55" s="533" t="s">
        <v>495</v>
      </c>
      <c r="E55" s="505"/>
      <c r="F55" s="505"/>
      <c r="G55" s="505"/>
      <c r="H55" s="505"/>
      <c r="I55" s="510" t="s">
        <v>493</v>
      </c>
      <c r="J55" s="505" t="s">
        <v>494</v>
      </c>
      <c r="K55" s="505"/>
      <c r="L55" s="505"/>
      <c r="M55" s="505"/>
      <c r="N55" s="505"/>
      <c r="O55" s="510" t="s">
        <v>388</v>
      </c>
      <c r="P55" s="159" t="s">
        <v>106</v>
      </c>
      <c r="Q55" s="160" t="s">
        <v>25</v>
      </c>
      <c r="R55" s="521"/>
      <c r="S55" s="521"/>
      <c r="T55" s="521"/>
      <c r="U55" s="521"/>
      <c r="V55" s="521"/>
      <c r="W55" s="521"/>
      <c r="X55" s="521"/>
      <c r="Z55" s="188" t="s">
        <v>0</v>
      </c>
    </row>
    <row r="56" spans="1:26" ht="15" customHeight="1" x14ac:dyDescent="0.25">
      <c r="B56" s="512"/>
      <c r="C56" s="511"/>
      <c r="D56" s="505" t="s">
        <v>225</v>
      </c>
      <c r="E56" s="505" t="s">
        <v>226</v>
      </c>
      <c r="F56" s="505" t="s">
        <v>496</v>
      </c>
      <c r="G56" s="505" t="s">
        <v>497</v>
      </c>
      <c r="H56" s="505" t="s">
        <v>490</v>
      </c>
      <c r="I56" s="511"/>
      <c r="J56" s="505" t="s">
        <v>225</v>
      </c>
      <c r="K56" s="505" t="s">
        <v>226</v>
      </c>
      <c r="L56" s="505" t="s">
        <v>496</v>
      </c>
      <c r="M56" s="505" t="s">
        <v>497</v>
      </c>
      <c r="N56" s="505" t="s">
        <v>490</v>
      </c>
      <c r="O56" s="511"/>
      <c r="P56" s="164"/>
      <c r="Q56" s="165"/>
      <c r="R56" s="521"/>
      <c r="S56" s="521"/>
      <c r="T56" s="521"/>
      <c r="U56" s="521"/>
      <c r="V56" s="521"/>
      <c r="W56" s="521"/>
      <c r="X56" s="521"/>
      <c r="Z56" s="188" t="s">
        <v>0</v>
      </c>
    </row>
    <row r="57" spans="1:26" ht="15" customHeight="1" x14ac:dyDescent="0.25">
      <c r="B57" s="513"/>
      <c r="C57" s="511"/>
      <c r="D57" s="505" t="s">
        <v>86</v>
      </c>
      <c r="E57" s="505" t="s">
        <v>86</v>
      </c>
      <c r="F57" s="505" t="s">
        <v>489</v>
      </c>
      <c r="G57" s="505"/>
      <c r="H57" s="505" t="s">
        <v>87</v>
      </c>
      <c r="I57" s="511"/>
      <c r="J57" s="505" t="s">
        <v>86</v>
      </c>
      <c r="K57" s="505" t="s">
        <v>86</v>
      </c>
      <c r="L57" s="505" t="s">
        <v>489</v>
      </c>
      <c r="M57" s="505"/>
      <c r="N57" s="505" t="s">
        <v>87</v>
      </c>
      <c r="O57" s="224"/>
      <c r="P57" s="509"/>
      <c r="Q57" s="429"/>
      <c r="R57" s="524"/>
      <c r="S57" s="524"/>
      <c r="T57" s="524"/>
      <c r="U57" s="524"/>
      <c r="V57" s="524"/>
      <c r="W57" s="524"/>
      <c r="X57" s="524"/>
      <c r="Z57" s="188" t="s">
        <v>0</v>
      </c>
    </row>
    <row r="58" spans="1:26" ht="15" customHeight="1" x14ac:dyDescent="0.25">
      <c r="B58" s="490" t="s">
        <v>404</v>
      </c>
      <c r="C58" s="621">
        <f t="array" ref="C58">IF($G$18="No",SQRT(MMULT(MMULT(TRANSPOSE(C59:C61),$O$49:$Q$51),C59:C61))+C62+C63,"-")</f>
        <v>0</v>
      </c>
      <c r="D58" s="634">
        <f t="array" ref="D58">IF($G$18="No",SQRT(MMULT(MMULT(TRANSPOSE(D59:D61),$O$49:$Q$51),D59:D61))+D62+D63,"-")</f>
        <v>0</v>
      </c>
      <c r="E58" s="634">
        <f t="array" ref="E58">IF($G$18="No",SQRT(MMULT(MMULT(TRANSPOSE(E59:E61),$O$49:$Q$51),E59:E61))+E62+E63,"-")</f>
        <v>0</v>
      </c>
      <c r="F58" s="634">
        <f t="array" ref="F58">IF($G$18="No",SQRT(MMULT(MMULT(TRANSPOSE(F59:F61),$O$49:$Q$51),F59:F61))+F62+F63,"-")</f>
        <v>0</v>
      </c>
      <c r="G58" s="634">
        <f t="array" ref="G58">IF($G$18="No",SQRT(MMULT(MMULT(TRANSPOSE(G59:G61),$O$49:$Q$51),G59:G61))+G62+G63,"-")</f>
        <v>0</v>
      </c>
      <c r="H58" s="634">
        <f t="array" ref="H58">IF($G$18="No",SQRT(MMULT(MMULT(TRANSPOSE(H59:H61),$O$49:$Q$51),H59:H61))+H62+H63,"-")</f>
        <v>0</v>
      </c>
      <c r="I58" s="621">
        <f t="shared" ref="I58:N63" si="1">IF($G$18="No",C58-$O58,"-")</f>
        <v>0</v>
      </c>
      <c r="J58" s="640">
        <f t="shared" si="1"/>
        <v>0</v>
      </c>
      <c r="K58" s="640">
        <f t="shared" si="1"/>
        <v>0</v>
      </c>
      <c r="L58" s="640">
        <f t="shared" si="1"/>
        <v>0</v>
      </c>
      <c r="M58" s="640">
        <f t="shared" si="1"/>
        <v>0</v>
      </c>
      <c r="N58" s="641">
        <f t="shared" si="1"/>
        <v>0</v>
      </c>
      <c r="O58" s="642">
        <f t="array" ref="O58">SQRT(MMULT(MMULT(TRANSPOSE(O59:O61),O49:Q51),O59:O61))+O62+O63</f>
        <v>0</v>
      </c>
      <c r="P58" s="56"/>
      <c r="Q58" s="531"/>
      <c r="R58" s="525"/>
      <c r="S58" s="525"/>
      <c r="T58" s="525"/>
      <c r="U58" s="525"/>
      <c r="V58" s="525"/>
      <c r="W58" s="525"/>
      <c r="X58" s="525"/>
      <c r="Z58" s="188" t="s">
        <v>0</v>
      </c>
    </row>
    <row r="59" spans="1:26" ht="15" customHeight="1" x14ac:dyDescent="0.25">
      <c r="B59" s="145" t="s">
        <v>27</v>
      </c>
      <c r="C59" s="590">
        <f>IF($G$18="No",SUM('Market risk'!C6),"-")</f>
        <v>0</v>
      </c>
      <c r="D59" s="643">
        <f>IF($G$18="No",SUM('Market risk'!D6),"-")</f>
        <v>0</v>
      </c>
      <c r="E59" s="643">
        <f>IF($G$18="No",SUM('Market risk'!E6),"-")</f>
        <v>0</v>
      </c>
      <c r="F59" s="643">
        <f>IF($G$18="No",SUM('Market risk'!F6),"-")</f>
        <v>0</v>
      </c>
      <c r="G59" s="643">
        <f>IF($G$18="No",SUM('Market risk'!G6),"-")</f>
        <v>0</v>
      </c>
      <c r="H59" s="643">
        <f>IF($G$18="No",SUM('Market risk'!H6),"-")</f>
        <v>0</v>
      </c>
      <c r="I59" s="620">
        <f t="shared" si="1"/>
        <v>0</v>
      </c>
      <c r="J59" s="644">
        <f t="shared" si="1"/>
        <v>0</v>
      </c>
      <c r="K59" s="644">
        <f t="shared" si="1"/>
        <v>0</v>
      </c>
      <c r="L59" s="644">
        <f t="shared" si="1"/>
        <v>0</v>
      </c>
      <c r="M59" s="644">
        <f t="shared" si="1"/>
        <v>0</v>
      </c>
      <c r="N59" s="636">
        <f t="shared" si="1"/>
        <v>0</v>
      </c>
      <c r="O59" s="639">
        <f>SUM('Market risk'!O6)</f>
        <v>0</v>
      </c>
      <c r="P59" s="643">
        <f>SUM('Market risk'!P6)</f>
        <v>0</v>
      </c>
      <c r="Q59" s="639">
        <f>SUM('Market risk'!Q6)</f>
        <v>0</v>
      </c>
      <c r="R59" s="525"/>
      <c r="S59" s="525"/>
      <c r="T59" s="525"/>
      <c r="U59" s="525"/>
      <c r="V59" s="525"/>
      <c r="W59" s="525"/>
      <c r="X59" s="525"/>
      <c r="Z59" s="188" t="s">
        <v>0</v>
      </c>
    </row>
    <row r="60" spans="1:26" ht="15" customHeight="1" x14ac:dyDescent="0.25">
      <c r="B60" s="145" t="s">
        <v>28</v>
      </c>
      <c r="C60" s="620">
        <f>IF($G$18="No",SUM('Counterparty default risk'!C6),"-")</f>
        <v>0</v>
      </c>
      <c r="D60" s="644">
        <f>IF($G$18="No",SUM('Counterparty default risk'!D6),"-")</f>
        <v>0</v>
      </c>
      <c r="E60" s="644">
        <f>IF($G$18="No",SUM('Counterparty default risk'!E6),"-")</f>
        <v>0</v>
      </c>
      <c r="F60" s="644">
        <f>IF($G$18="No",SUM('Counterparty default risk'!F6),"-")</f>
        <v>0</v>
      </c>
      <c r="G60" s="644">
        <f>IF($G$18="No",SUM('Counterparty default risk'!G6),"-")</f>
        <v>0</v>
      </c>
      <c r="H60" s="644">
        <f>IF($G$18="No",SUM('Counterparty default risk'!H6),"-")</f>
        <v>0</v>
      </c>
      <c r="I60" s="620">
        <f t="shared" si="1"/>
        <v>0</v>
      </c>
      <c r="J60" s="644">
        <f t="shared" si="1"/>
        <v>0</v>
      </c>
      <c r="K60" s="644">
        <f t="shared" si="1"/>
        <v>0</v>
      </c>
      <c r="L60" s="644">
        <f t="shared" si="1"/>
        <v>0</v>
      </c>
      <c r="M60" s="644">
        <f t="shared" si="1"/>
        <v>0</v>
      </c>
      <c r="N60" s="636">
        <f t="shared" si="1"/>
        <v>0</v>
      </c>
      <c r="O60" s="636">
        <f>SUM('Counterparty default risk'!O6)</f>
        <v>0</v>
      </c>
      <c r="P60" s="644">
        <f>SUM('Counterparty default risk'!P6)</f>
        <v>0</v>
      </c>
      <c r="Q60" s="636">
        <f>SUM('Counterparty default risk'!Q6)</f>
        <v>0</v>
      </c>
      <c r="R60" s="525"/>
      <c r="S60" s="525"/>
      <c r="T60" s="525"/>
      <c r="U60" s="525"/>
      <c r="V60" s="525"/>
      <c r="W60" s="525"/>
      <c r="X60" s="525"/>
      <c r="Z60" s="188" t="s">
        <v>0</v>
      </c>
    </row>
    <row r="61" spans="1:26" ht="15" customHeight="1" x14ac:dyDescent="0.25">
      <c r="B61" s="145" t="s">
        <v>24</v>
      </c>
      <c r="C61" s="620">
        <f>IF($G$18="No",SUM('Pension liability risk'!C6),"-")</f>
        <v>0</v>
      </c>
      <c r="D61" s="644">
        <f>IF($G$18="No",SUM('Pension liability risk'!D6),"-")</f>
        <v>0</v>
      </c>
      <c r="E61" s="644">
        <f>IF($G$18="No",SUM('Pension liability risk'!E6),"-")</f>
        <v>0</v>
      </c>
      <c r="F61" s="644">
        <f>IF($G$18="No",SUM('Pension liability risk'!F6),"-")</f>
        <v>0</v>
      </c>
      <c r="G61" s="644">
        <f>IF($G$18="No",SUM('Pension liability risk'!G6),"-")</f>
        <v>0</v>
      </c>
      <c r="H61" s="644">
        <f>IF($G$18="No",SUM('Pension liability risk'!H6),"-")</f>
        <v>0</v>
      </c>
      <c r="I61" s="620">
        <f t="shared" si="1"/>
        <v>0</v>
      </c>
      <c r="J61" s="644">
        <f t="shared" si="1"/>
        <v>0</v>
      </c>
      <c r="K61" s="644">
        <f t="shared" si="1"/>
        <v>0</v>
      </c>
      <c r="L61" s="644">
        <f t="shared" si="1"/>
        <v>0</v>
      </c>
      <c r="M61" s="644">
        <f t="shared" si="1"/>
        <v>0</v>
      </c>
      <c r="N61" s="636">
        <f t="shared" si="1"/>
        <v>0</v>
      </c>
      <c r="O61" s="636">
        <f>SUM('Pension liability risk'!O6)</f>
        <v>0</v>
      </c>
      <c r="P61" s="644">
        <f>SUM('Pension liability risk'!P6)</f>
        <v>0</v>
      </c>
      <c r="Q61" s="636">
        <f>SUM('Pension liability risk'!Q6)</f>
        <v>0</v>
      </c>
      <c r="R61" s="525"/>
      <c r="S61" s="525"/>
      <c r="T61" s="525"/>
      <c r="U61" s="525"/>
      <c r="V61" s="525"/>
      <c r="W61" s="525"/>
      <c r="X61" s="525"/>
      <c r="Z61" s="188" t="s">
        <v>0</v>
      </c>
    </row>
    <row r="62" spans="1:26" ht="15" customHeight="1" x14ac:dyDescent="0.25">
      <c r="B62" s="145" t="s">
        <v>29</v>
      </c>
      <c r="C62" s="620">
        <f>IF($G$18="No",SUM('Intangible asset risk'!C8),"-")</f>
        <v>0</v>
      </c>
      <c r="D62" s="644">
        <f>IF($G$18="No",SUM('Intangible asset risk'!D8),"-")</f>
        <v>0</v>
      </c>
      <c r="E62" s="644">
        <f>IF($G$18="No",SUM('Intangible asset risk'!E8),"-")</f>
        <v>0</v>
      </c>
      <c r="F62" s="644">
        <f>IF($G$18="No",SUM('Intangible asset risk'!F8),"-")</f>
        <v>0</v>
      </c>
      <c r="G62" s="644">
        <f>IF($G$18="No",SUM('Intangible asset risk'!G8),"-")</f>
        <v>0</v>
      </c>
      <c r="H62" s="644">
        <f>IF($G$18="No",SUM('Intangible asset risk'!H8),"-")</f>
        <v>0</v>
      </c>
      <c r="I62" s="620">
        <f t="shared" si="1"/>
        <v>0</v>
      </c>
      <c r="J62" s="644">
        <f t="shared" si="1"/>
        <v>0</v>
      </c>
      <c r="K62" s="644">
        <f t="shared" si="1"/>
        <v>0</v>
      </c>
      <c r="L62" s="644">
        <f t="shared" si="1"/>
        <v>0</v>
      </c>
      <c r="M62" s="644">
        <f t="shared" si="1"/>
        <v>0</v>
      </c>
      <c r="N62" s="636">
        <f t="shared" si="1"/>
        <v>0</v>
      </c>
      <c r="O62" s="636">
        <f>SUM('Intangible asset risk'!O8)</f>
        <v>0</v>
      </c>
      <c r="P62" s="644">
        <f>SUM(O62)-SUM(Q62)</f>
        <v>0</v>
      </c>
      <c r="Q62" s="636">
        <f>SUM('Intangible asset risk'!O8)</f>
        <v>0</v>
      </c>
      <c r="R62" s="525"/>
      <c r="S62" s="525"/>
      <c r="T62" s="525"/>
      <c r="U62" s="525"/>
      <c r="V62" s="525"/>
      <c r="W62" s="525"/>
      <c r="X62" s="525"/>
      <c r="Z62" s="188" t="s">
        <v>0</v>
      </c>
    </row>
    <row r="63" spans="1:26" ht="15" customHeight="1" x14ac:dyDescent="0.25">
      <c r="B63" s="57" t="s">
        <v>30</v>
      </c>
      <c r="C63" s="626">
        <f>IF($G$18="No",SUM('Operational risk'!C8),"-")</f>
        <v>0</v>
      </c>
      <c r="D63" s="645">
        <f>IF($G$18="No",SUM('Operational risk'!D8),"-")</f>
        <v>0</v>
      </c>
      <c r="E63" s="645">
        <f>IF($G$18="No",SUM('Operational risk'!E8),"-")</f>
        <v>0</v>
      </c>
      <c r="F63" s="645">
        <f>IF($G$18="No",SUM('Operational risk'!F8),"-")</f>
        <v>0</v>
      </c>
      <c r="G63" s="645">
        <f>IF($G$18="No",SUM('Operational risk'!G8),"-")</f>
        <v>0</v>
      </c>
      <c r="H63" s="645">
        <f>IF($G$18="No",SUM('Operational risk'!H8),"-")</f>
        <v>0</v>
      </c>
      <c r="I63" s="626">
        <f t="shared" si="1"/>
        <v>0</v>
      </c>
      <c r="J63" s="645">
        <f t="shared" si="1"/>
        <v>0</v>
      </c>
      <c r="K63" s="645">
        <f t="shared" si="1"/>
        <v>0</v>
      </c>
      <c r="L63" s="645">
        <f t="shared" si="1"/>
        <v>0</v>
      </c>
      <c r="M63" s="645">
        <f t="shared" si="1"/>
        <v>0</v>
      </c>
      <c r="N63" s="637">
        <f t="shared" si="1"/>
        <v>0</v>
      </c>
      <c r="O63" s="637">
        <f>SUM('Operational risk'!O8)</f>
        <v>0</v>
      </c>
      <c r="P63" s="645">
        <f>SUM(O63)-SUM(Q63)</f>
        <v>0</v>
      </c>
      <c r="Q63" s="637">
        <f>SUM('Operational risk'!O8)</f>
        <v>0</v>
      </c>
      <c r="R63" s="525"/>
      <c r="S63" s="525"/>
      <c r="T63" s="525"/>
      <c r="U63" s="525"/>
      <c r="V63" s="525"/>
      <c r="W63" s="525"/>
      <c r="X63" s="525"/>
      <c r="Z63" s="188" t="s">
        <v>0</v>
      </c>
    </row>
    <row r="64" spans="1:26" ht="15" customHeight="1" x14ac:dyDescent="0.25">
      <c r="Z64" s="188" t="s">
        <v>0</v>
      </c>
    </row>
    <row r="65" spans="1:26" ht="15" customHeight="1" x14ac:dyDescent="0.25">
      <c r="A65" s="188" t="s">
        <v>0</v>
      </c>
      <c r="B65" s="188" t="s">
        <v>0</v>
      </c>
      <c r="C65" s="188" t="s">
        <v>0</v>
      </c>
      <c r="D65" s="188" t="s">
        <v>0</v>
      </c>
      <c r="E65" s="188" t="s">
        <v>0</v>
      </c>
      <c r="F65" s="188" t="s">
        <v>0</v>
      </c>
      <c r="G65" s="188" t="s">
        <v>0</v>
      </c>
      <c r="H65" s="188" t="s">
        <v>0</v>
      </c>
      <c r="I65" s="188" t="s">
        <v>0</v>
      </c>
      <c r="J65" s="188" t="s">
        <v>0</v>
      </c>
      <c r="K65" s="188" t="s">
        <v>0</v>
      </c>
      <c r="L65" s="188" t="s">
        <v>0</v>
      </c>
      <c r="M65" s="188" t="s">
        <v>0</v>
      </c>
      <c r="N65" s="188" t="s">
        <v>0</v>
      </c>
      <c r="O65" s="188" t="s">
        <v>0</v>
      </c>
      <c r="P65" s="188" t="s">
        <v>0</v>
      </c>
      <c r="Q65" s="188" t="s">
        <v>0</v>
      </c>
      <c r="R65" s="188" t="s">
        <v>0</v>
      </c>
      <c r="S65" s="188" t="s">
        <v>0</v>
      </c>
      <c r="T65" s="188" t="s">
        <v>0</v>
      </c>
      <c r="U65" s="188" t="s">
        <v>0</v>
      </c>
      <c r="V65" s="188" t="s">
        <v>0</v>
      </c>
      <c r="W65" s="188" t="s">
        <v>0</v>
      </c>
      <c r="X65" s="188" t="s">
        <v>0</v>
      </c>
      <c r="Y65" s="188" t="s">
        <v>0</v>
      </c>
      <c r="Z65" s="188" t="s">
        <v>0</v>
      </c>
    </row>
    <row r="67" spans="1:26" ht="15" customHeight="1" x14ac:dyDescent="0.25">
      <c r="I67" s="564"/>
      <c r="L67" s="564"/>
      <c r="M67" s="564"/>
      <c r="N67" s="564"/>
      <c r="O67" s="564"/>
    </row>
  </sheetData>
  <mergeCells count="1">
    <mergeCell ref="E38:F38"/>
  </mergeCells>
  <dataValidations count="2">
    <dataValidation type="decimal" operator="lessThanOrEqual" allowBlank="1" showInputMessage="1" showErrorMessage="1" errorTitle="Non-negative input" error="Adjustment needs to have negative value" prompt="Please enter a negative value, if relevant" sqref="F37:L41 T42:U43">
      <formula1>0</formula1>
    </dataValidation>
    <dataValidation type="list" allowBlank="1" showInputMessage="1" showErrorMessage="1" sqref="G18">
      <formula1>$AB$4:$AB$5</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BN260"/>
  <sheetViews>
    <sheetView zoomScaleNormal="100" workbookViewId="0">
      <selection activeCell="D255" sqref="D255:E256"/>
    </sheetView>
  </sheetViews>
  <sheetFormatPr defaultColWidth="9.140625" defaultRowHeight="15" x14ac:dyDescent="0.25"/>
  <cols>
    <col min="1" max="1" width="9.140625" style="5"/>
    <col min="2" max="2" width="45.7109375" style="5" customWidth="1"/>
    <col min="3" max="31" width="14.28515625" style="5" customWidth="1"/>
    <col min="32" max="16384" width="9.140625" style="5"/>
  </cols>
  <sheetData>
    <row r="1" spans="1:33" x14ac:dyDescent="0.25">
      <c r="AG1" s="17" t="s">
        <v>0</v>
      </c>
    </row>
    <row r="2" spans="1:33" x14ac:dyDescent="0.25">
      <c r="B2" s="477" t="s">
        <v>227</v>
      </c>
      <c r="C2" s="479"/>
      <c r="D2" s="479"/>
      <c r="E2" s="479"/>
      <c r="F2" s="479"/>
      <c r="G2" s="479"/>
      <c r="H2" s="479"/>
      <c r="I2" s="24"/>
      <c r="J2" s="24"/>
      <c r="K2" s="24"/>
      <c r="L2" s="24"/>
      <c r="M2" s="24"/>
      <c r="N2" s="24"/>
      <c r="O2" s="24"/>
      <c r="P2" s="24"/>
      <c r="Q2" s="100"/>
      <c r="Y2" s="743" t="str">
        <f>HYPERLINK("#'Index'!a1","&gt;&gt; go to Index")</f>
        <v>&gt;&gt; go to Index</v>
      </c>
      <c r="Z2" s="743"/>
      <c r="AG2" s="17" t="s">
        <v>0</v>
      </c>
    </row>
    <row r="3" spans="1:33" x14ac:dyDescent="0.25">
      <c r="B3" s="144"/>
      <c r="C3" s="510" t="s">
        <v>387</v>
      </c>
      <c r="D3" s="419" t="s">
        <v>495</v>
      </c>
      <c r="E3" s="425"/>
      <c r="F3" s="425"/>
      <c r="G3" s="425"/>
      <c r="H3" s="425"/>
      <c r="I3" s="510" t="s">
        <v>493</v>
      </c>
      <c r="J3" s="423" t="s">
        <v>494</v>
      </c>
      <c r="K3" s="425"/>
      <c r="L3" s="425"/>
      <c r="M3" s="425"/>
      <c r="N3" s="425"/>
      <c r="O3" s="514" t="s">
        <v>388</v>
      </c>
      <c r="P3" s="74" t="s">
        <v>26</v>
      </c>
      <c r="Q3" s="160" t="s">
        <v>25</v>
      </c>
      <c r="AG3" s="17" t="s">
        <v>0</v>
      </c>
    </row>
    <row r="4" spans="1:33" x14ac:dyDescent="0.25">
      <c r="B4" s="145"/>
      <c r="C4" s="511"/>
      <c r="D4" s="512" t="s">
        <v>225</v>
      </c>
      <c r="E4" s="505" t="s">
        <v>226</v>
      </c>
      <c r="F4" s="505" t="s">
        <v>496</v>
      </c>
      <c r="G4" s="505" t="s">
        <v>497</v>
      </c>
      <c r="H4" s="505" t="s">
        <v>490</v>
      </c>
      <c r="I4" s="511"/>
      <c r="J4" s="505" t="s">
        <v>225</v>
      </c>
      <c r="K4" s="505" t="s">
        <v>226</v>
      </c>
      <c r="L4" s="505" t="s">
        <v>496</v>
      </c>
      <c r="M4" s="505" t="s">
        <v>497</v>
      </c>
      <c r="N4" s="505" t="s">
        <v>490</v>
      </c>
      <c r="O4" s="512"/>
      <c r="P4" s="511"/>
      <c r="Q4" s="508"/>
      <c r="R4" s="177"/>
      <c r="S4" s="177"/>
      <c r="AG4" s="17" t="s">
        <v>0</v>
      </c>
    </row>
    <row r="5" spans="1:33" x14ac:dyDescent="0.25">
      <c r="B5" s="57"/>
      <c r="C5" s="224"/>
      <c r="D5" s="513" t="s">
        <v>86</v>
      </c>
      <c r="E5" s="509" t="s">
        <v>86</v>
      </c>
      <c r="F5" s="509" t="s">
        <v>489</v>
      </c>
      <c r="G5" s="509"/>
      <c r="H5" s="509" t="s">
        <v>87</v>
      </c>
      <c r="I5" s="511"/>
      <c r="J5" s="505" t="s">
        <v>86</v>
      </c>
      <c r="K5" s="505" t="s">
        <v>86</v>
      </c>
      <c r="L5" s="505" t="s">
        <v>489</v>
      </c>
      <c r="M5" s="505"/>
      <c r="N5" s="505" t="s">
        <v>87</v>
      </c>
      <c r="O5" s="513"/>
      <c r="P5" s="224"/>
      <c r="Q5" s="429"/>
      <c r="R5" s="177"/>
      <c r="S5" s="177"/>
      <c r="AG5" s="17" t="s">
        <v>0</v>
      </c>
    </row>
    <row r="6" spans="1:33" x14ac:dyDescent="0.25">
      <c r="A6" s="548" t="s">
        <v>524</v>
      </c>
      <c r="B6" s="419" t="s">
        <v>392</v>
      </c>
      <c r="C6" s="646">
        <f t="array" ref="C6">IF('Overview SRA'!$G$18="No",SQRT(MMULT(MMULT(TRANSPOSE(C7:C12),T7:Y12),C7:C12)),"-")</f>
        <v>0</v>
      </c>
      <c r="D6" s="647">
        <f t="array" ref="D6">IF('Overview SRA'!$G$18="No",SQRT(MMULT(MMULT(TRANSPOSE(D7:D12),T7:Y12),D7:D12)),"-")</f>
        <v>0</v>
      </c>
      <c r="E6" s="648">
        <f t="array" ref="E6">IF('Overview SRA'!$G$18="No",SQRT(MMULT(MMULT(TRANSPOSE(E7:E12),T7:Y12),E7:E12)),"-")</f>
        <v>0</v>
      </c>
      <c r="F6" s="648">
        <f t="array" ref="F6">IF('Overview SRA'!$G$18="No",SQRT(MMULT(MMULT(TRANSPOSE(F7:F12),T7:Y12),F7:F12)),"-")</f>
        <v>0</v>
      </c>
      <c r="G6" s="648">
        <f t="array" ref="G6">IF('Overview SRA'!$G$18="No",SQRT(MMULT(MMULT(TRANSPOSE(G7:G12),T7:Y12),G7:G12)),"-")</f>
        <v>0</v>
      </c>
      <c r="H6" s="648">
        <f t="array" ref="H6">IF('Overview SRA'!$G$18="No",SQRT(MMULT(MMULT(TRANSPOSE(H7:H12),T7:Y12),H7:H12)),"-")</f>
        <v>0</v>
      </c>
      <c r="I6" s="631">
        <f>IF('Overview SRA'!$G$18="No",SUM(C6)-SUM(O6),"-")</f>
        <v>0</v>
      </c>
      <c r="J6" s="631">
        <f>IF('Overview SRA'!$G$18="No",SUM(D6)-SUM($O6),"-")</f>
        <v>0</v>
      </c>
      <c r="K6" s="633">
        <f>IF('Overview SRA'!$G$18="No",SUM(E6)-SUM($O6),"-")</f>
        <v>0</v>
      </c>
      <c r="L6" s="633">
        <f>IF('Overview SRA'!$G$18="No",SUM(F6)-SUM($O6),"-")</f>
        <v>0</v>
      </c>
      <c r="M6" s="633">
        <f>IF('Overview SRA'!$G$18="No",SUM(G6)-SUM($O6),"-")</f>
        <v>0</v>
      </c>
      <c r="N6" s="630">
        <f>IF('Overview SRA'!$G$18="No",SUM(H6)-SUM($O6),"-")</f>
        <v>0</v>
      </c>
      <c r="O6" s="649">
        <f t="array" ref="O6">SQRT(MMULT(MMULT(TRANSPOSE(O7:O12),T7:Y12),O7:O12))</f>
        <v>0</v>
      </c>
      <c r="P6" s="662">
        <f>SUM(O6)-SUM(Q6)</f>
        <v>0</v>
      </c>
      <c r="Q6" s="649">
        <f>SUM(O7:O12)</f>
        <v>0</v>
      </c>
      <c r="R6" s="178"/>
      <c r="S6" s="339"/>
      <c r="T6" s="153" t="s">
        <v>50</v>
      </c>
      <c r="U6" s="153" t="s">
        <v>51</v>
      </c>
      <c r="V6" s="153" t="s">
        <v>52</v>
      </c>
      <c r="W6" s="153" t="s">
        <v>53</v>
      </c>
      <c r="X6" s="153" t="s">
        <v>56</v>
      </c>
      <c r="Y6" s="154" t="s">
        <v>54</v>
      </c>
      <c r="AG6" s="17" t="s">
        <v>0</v>
      </c>
    </row>
    <row r="7" spans="1:33" x14ac:dyDescent="0.25">
      <c r="B7" s="145" t="s">
        <v>33</v>
      </c>
      <c r="C7" s="650">
        <f>IF('Overview SRA'!$G$18="No",C22,"-")</f>
        <v>0</v>
      </c>
      <c r="D7" s="651">
        <f>IF('Overview SRA'!$G$18="No",D22,"-")</f>
        <v>0</v>
      </c>
      <c r="E7" s="652">
        <f>IF('Overview SRA'!$G$18="No",E22,"-")</f>
        <v>0</v>
      </c>
      <c r="F7" s="652">
        <f>IF('Overview SRA'!$G$18="No",F22,"-")</f>
        <v>0</v>
      </c>
      <c r="G7" s="652">
        <f>IF('Overview SRA'!$G$18="No",G22,"-")</f>
        <v>0</v>
      </c>
      <c r="H7" s="623">
        <f>IF('Overview SRA'!$G$18="No",H22,"-")</f>
        <v>0</v>
      </c>
      <c r="I7" s="644">
        <f>IF('Overview SRA'!$G$18="No",SUM(C7)-SUM(O7),"-")</f>
        <v>0</v>
      </c>
      <c r="J7" s="647">
        <f>IF('Overview SRA'!$G$18="No",SUM(D7)-SUM($O7),"-")</f>
        <v>0</v>
      </c>
      <c r="K7" s="648">
        <f>IF('Overview SRA'!$G$18="No",SUM(E7)-SUM($O7),"-")</f>
        <v>0</v>
      </c>
      <c r="L7" s="648">
        <f>IF('Overview SRA'!$G$18="No",SUM(F7)-SUM($O7),"-")</f>
        <v>0</v>
      </c>
      <c r="M7" s="648">
        <f>IF('Overview SRA'!$G$18="No",SUM(G7)-SUM($O7),"-")</f>
        <v>0</v>
      </c>
      <c r="N7" s="653">
        <f>IF('Overview SRA'!$G$18="No",SUM(H7)-SUM($O7),"-")</f>
        <v>0</v>
      </c>
      <c r="O7" s="636">
        <f>C21</f>
        <v>0</v>
      </c>
      <c r="P7" s="663">
        <f>IF(C23="Up",0,0.5)</f>
        <v>0.5</v>
      </c>
      <c r="Q7" s="54" t="s">
        <v>32</v>
      </c>
      <c r="R7" s="177"/>
      <c r="S7" s="339" t="s">
        <v>50</v>
      </c>
      <c r="T7" s="217">
        <v>1</v>
      </c>
      <c r="U7" s="217">
        <f>P7</f>
        <v>0.5</v>
      </c>
      <c r="V7" s="217">
        <f>P7</f>
        <v>0.5</v>
      </c>
      <c r="W7" s="217">
        <f>P7</f>
        <v>0.5</v>
      </c>
      <c r="X7" s="217">
        <v>0</v>
      </c>
      <c r="Y7" s="218">
        <v>0.25</v>
      </c>
      <c r="AG7" s="17" t="s">
        <v>0</v>
      </c>
    </row>
    <row r="8" spans="1:33" x14ac:dyDescent="0.25">
      <c r="B8" s="145" t="s">
        <v>34</v>
      </c>
      <c r="C8" s="650">
        <f>IF('Overview SRA'!$G$18="No",C37,"-")</f>
        <v>0</v>
      </c>
      <c r="D8" s="650">
        <f>IF('Overview SRA'!$G$18="No",D37,"-")</f>
        <v>0</v>
      </c>
      <c r="E8" s="654">
        <f>IF('Overview SRA'!$G$18="No",E37,"-")</f>
        <v>0</v>
      </c>
      <c r="F8" s="654">
        <f>IF('Overview SRA'!$G$18="No",F37,"-")</f>
        <v>0</v>
      </c>
      <c r="G8" s="654">
        <f>IF('Overview SRA'!$G$18="No",G37,"-")</f>
        <v>0</v>
      </c>
      <c r="H8" s="624">
        <f>IF('Overview SRA'!$G$18="No",H37,"-")</f>
        <v>0</v>
      </c>
      <c r="I8" s="644">
        <f>IF('Overview SRA'!$G$18="No",SUM(C8)-SUM(O8),"-")</f>
        <v>0</v>
      </c>
      <c r="J8" s="655">
        <f>IF('Overview SRA'!$G$18="No",SUM(D8)-SUM($O8),"-")</f>
        <v>0</v>
      </c>
      <c r="K8" s="656">
        <f>IF('Overview SRA'!$G$18="No",SUM(E8)-SUM($O8),"-")</f>
        <v>0</v>
      </c>
      <c r="L8" s="656">
        <f>IF('Overview SRA'!$G$18="No",SUM(F8)-SUM($O8),"-")</f>
        <v>0</v>
      </c>
      <c r="M8" s="656">
        <f>IF('Overview SRA'!$G$18="No",SUM(G8)-SUM($O8),"-")</f>
        <v>0</v>
      </c>
      <c r="N8" s="657">
        <f>IF('Overview SRA'!$G$18="No",SUM(H8)-SUM($O8),"-")</f>
        <v>0</v>
      </c>
      <c r="O8" s="636">
        <f>C36</f>
        <v>0</v>
      </c>
      <c r="P8" s="77"/>
      <c r="Q8" s="49"/>
      <c r="S8" s="151" t="s">
        <v>55</v>
      </c>
      <c r="T8" s="217">
        <f>P7</f>
        <v>0.5</v>
      </c>
      <c r="U8" s="217">
        <v>1</v>
      </c>
      <c r="V8" s="217">
        <v>0.75</v>
      </c>
      <c r="W8" s="217">
        <v>0.75</v>
      </c>
      <c r="X8" s="217">
        <v>0</v>
      </c>
      <c r="Y8" s="218">
        <v>0.25</v>
      </c>
      <c r="AG8" s="17" t="s">
        <v>0</v>
      </c>
    </row>
    <row r="9" spans="1:33" x14ac:dyDescent="0.25">
      <c r="B9" s="145" t="s">
        <v>35</v>
      </c>
      <c r="C9" s="650">
        <f>IF('Overview SRA'!$G$18="No",C43,"-")</f>
        <v>0</v>
      </c>
      <c r="D9" s="650">
        <f>IF('Overview SRA'!$G$18="No",D43,"-")</f>
        <v>0</v>
      </c>
      <c r="E9" s="654">
        <f>IF('Overview SRA'!$G$18="No",E43,"-")</f>
        <v>0</v>
      </c>
      <c r="F9" s="654">
        <f>IF('Overview SRA'!$G$18="No",F43,"-")</f>
        <v>0</v>
      </c>
      <c r="G9" s="654">
        <f>IF('Overview SRA'!$G$18="No",G43,"-")</f>
        <v>0</v>
      </c>
      <c r="H9" s="624">
        <f>IF('Overview SRA'!$G$18="No",H43,"-")</f>
        <v>0</v>
      </c>
      <c r="I9" s="644">
        <f>IF('Overview SRA'!$G$18="No",SUM(C9)-SUM(O9),"-")</f>
        <v>0</v>
      </c>
      <c r="J9" s="655">
        <f>IF('Overview SRA'!$G$18="No",SUM(D9)-SUM($O9),"-")</f>
        <v>0</v>
      </c>
      <c r="K9" s="656">
        <f>IF('Overview SRA'!$G$18="No",SUM(E9)-SUM($O9),"-")</f>
        <v>0</v>
      </c>
      <c r="L9" s="656">
        <f>IF('Overview SRA'!$G$18="No",SUM(F9)-SUM($O9),"-")</f>
        <v>0</v>
      </c>
      <c r="M9" s="656">
        <f>IF('Overview SRA'!$G$18="No",SUM(G9)-SUM($O9),"-")</f>
        <v>0</v>
      </c>
      <c r="N9" s="657">
        <f>IF('Overview SRA'!$G$18="No",SUM(H9)-SUM($O9),"-")</f>
        <v>0</v>
      </c>
      <c r="O9" s="636">
        <f>C42</f>
        <v>0</v>
      </c>
      <c r="P9" s="149"/>
      <c r="Q9" s="58"/>
      <c r="S9" s="151" t="s">
        <v>52</v>
      </c>
      <c r="T9" s="217">
        <f>P7</f>
        <v>0.5</v>
      </c>
      <c r="U9" s="217">
        <v>0.75</v>
      </c>
      <c r="V9" s="217">
        <v>1</v>
      </c>
      <c r="W9" s="217">
        <v>0.5</v>
      </c>
      <c r="X9" s="217">
        <v>0</v>
      </c>
      <c r="Y9" s="218">
        <v>0.25</v>
      </c>
      <c r="AG9" s="17" t="s">
        <v>0</v>
      </c>
    </row>
    <row r="10" spans="1:33" x14ac:dyDescent="0.25">
      <c r="B10" s="145" t="s">
        <v>36</v>
      </c>
      <c r="C10" s="650">
        <f>IF('Overview SRA'!$G$18="No",C45,"-")</f>
        <v>0</v>
      </c>
      <c r="D10" s="650">
        <f>IF('Overview SRA'!$G$18="No",D45,"-")</f>
        <v>0</v>
      </c>
      <c r="E10" s="654">
        <f>IF('Overview SRA'!$G$18="No",E45,"-")</f>
        <v>0</v>
      </c>
      <c r="F10" s="654">
        <f>IF('Overview SRA'!$G$18="No",F45,"-")</f>
        <v>0</v>
      </c>
      <c r="G10" s="654">
        <f>IF('Overview SRA'!$G$18="No",G45,"-")</f>
        <v>0</v>
      </c>
      <c r="H10" s="624">
        <f>IF('Overview SRA'!$G$18="No",H45,"-")</f>
        <v>0</v>
      </c>
      <c r="I10" s="644">
        <f>IF('Overview SRA'!$G$18="No",SUM(C10)-SUM(O10),"-")</f>
        <v>0</v>
      </c>
      <c r="J10" s="655">
        <f>IF('Overview SRA'!$G$18="No",SUM(D10)-SUM($O10),"-")</f>
        <v>0</v>
      </c>
      <c r="K10" s="656">
        <f>IF('Overview SRA'!$G$18="No",SUM(E10)-SUM($O10),"-")</f>
        <v>0</v>
      </c>
      <c r="L10" s="656">
        <f>IF('Overview SRA'!$G$18="No",SUM(F10)-SUM($O10),"-")</f>
        <v>0</v>
      </c>
      <c r="M10" s="656">
        <f>IF('Overview SRA'!$G$18="No",SUM(G10)-SUM($O10),"-")</f>
        <v>0</v>
      </c>
      <c r="N10" s="657">
        <f>IF('Overview SRA'!$G$18="No",SUM(H10)-SUM($O10),"-")</f>
        <v>0</v>
      </c>
      <c r="O10" s="636">
        <f>C44</f>
        <v>0</v>
      </c>
      <c r="P10" s="149"/>
      <c r="Q10" s="58"/>
      <c r="S10" s="151" t="s">
        <v>53</v>
      </c>
      <c r="T10" s="217">
        <f>P7</f>
        <v>0.5</v>
      </c>
      <c r="U10" s="217">
        <v>0.75</v>
      </c>
      <c r="V10" s="217">
        <v>0.5</v>
      </c>
      <c r="W10" s="217">
        <v>1</v>
      </c>
      <c r="X10" s="217">
        <v>0</v>
      </c>
      <c r="Y10" s="218">
        <v>0.25</v>
      </c>
      <c r="AG10" s="17" t="s">
        <v>0</v>
      </c>
    </row>
    <row r="11" spans="1:33" x14ac:dyDescent="0.25">
      <c r="B11" s="145" t="s">
        <v>38</v>
      </c>
      <c r="C11" s="650">
        <f>IF('Overview SRA'!$G$18="No",C58,"-")</f>
        <v>0</v>
      </c>
      <c r="D11" s="650">
        <f>IF('Overview SRA'!$G$18="No",D58,"-")</f>
        <v>0</v>
      </c>
      <c r="E11" s="654">
        <f>IF('Overview SRA'!$G$18="No",E58,"-")</f>
        <v>0</v>
      </c>
      <c r="F11" s="654">
        <f>IF('Overview SRA'!$G$18="No",F58,"-")</f>
        <v>0</v>
      </c>
      <c r="G11" s="654">
        <f>IF('Overview SRA'!$G$18="No",G58,"-")</f>
        <v>0</v>
      </c>
      <c r="H11" s="624">
        <f>IF('Overview SRA'!$G$18="No",H58,"-")</f>
        <v>0</v>
      </c>
      <c r="I11" s="644">
        <f>IF('Overview SRA'!$G$18="No",SUM(C11)-SUM(O11),"-")</f>
        <v>0</v>
      </c>
      <c r="J11" s="655">
        <f>IF('Overview SRA'!$G$18="No",SUM(D11)-SUM($O11),"-")</f>
        <v>0</v>
      </c>
      <c r="K11" s="656">
        <f>IF('Overview SRA'!$G$18="No",SUM(E11)-SUM($O11),"-")</f>
        <v>0</v>
      </c>
      <c r="L11" s="656">
        <f>IF('Overview SRA'!$G$18="No",SUM(F11)-SUM($O11),"-")</f>
        <v>0</v>
      </c>
      <c r="M11" s="656">
        <f>IF('Overview SRA'!$G$18="No",SUM(G11)-SUM($O11),"-")</f>
        <v>0</v>
      </c>
      <c r="N11" s="657">
        <f>IF('Overview SRA'!$G$18="No",SUM(H11)-SUM($O11),"-")</f>
        <v>0</v>
      </c>
      <c r="O11" s="636">
        <f>C57</f>
        <v>0</v>
      </c>
      <c r="P11" s="149"/>
      <c r="Q11" s="58"/>
      <c r="S11" s="151" t="s">
        <v>56</v>
      </c>
      <c r="T11" s="217">
        <v>0</v>
      </c>
      <c r="U11" s="217">
        <v>0</v>
      </c>
      <c r="V11" s="217">
        <v>0</v>
      </c>
      <c r="W11" s="217">
        <v>0</v>
      </c>
      <c r="X11" s="217">
        <v>1</v>
      </c>
      <c r="Y11" s="218">
        <v>0</v>
      </c>
      <c r="AG11" s="17" t="s">
        <v>0</v>
      </c>
    </row>
    <row r="12" spans="1:33" x14ac:dyDescent="0.25">
      <c r="B12" s="57" t="s">
        <v>37</v>
      </c>
      <c r="C12" s="638">
        <f>IF('Overview SRA'!$G$18="No",C60,"-")</f>
        <v>0</v>
      </c>
      <c r="D12" s="638">
        <f>IF('Overview SRA'!$G$18="No",D60,"-")</f>
        <v>0</v>
      </c>
      <c r="E12" s="658">
        <f>IF('Overview SRA'!$G$18="No",E60,"-")</f>
        <v>0</v>
      </c>
      <c r="F12" s="658">
        <f>IF('Overview SRA'!$G$18="No",F60,"-")</f>
        <v>0</v>
      </c>
      <c r="G12" s="658">
        <f>IF('Overview SRA'!$G$18="No",G60,"-")</f>
        <v>0</v>
      </c>
      <c r="H12" s="659">
        <f>IF('Overview SRA'!$G$18="No",H60,"-")</f>
        <v>0</v>
      </c>
      <c r="I12" s="645">
        <f>IF('Overview SRA'!$G$18="No",SUM(C12)-SUM(O12),"-")</f>
        <v>0</v>
      </c>
      <c r="J12" s="660">
        <f>IF('Overview SRA'!$G$18="No",SUM(D12)-SUM($O12),"-")</f>
        <v>0</v>
      </c>
      <c r="K12" s="661">
        <f>IF('Overview SRA'!$G$18="No",SUM(E12)-SUM($O12),"-")</f>
        <v>0</v>
      </c>
      <c r="L12" s="661">
        <f>IF('Overview SRA'!$G$18="No",SUM(F12)-SUM($O12),"-")</f>
        <v>0</v>
      </c>
      <c r="M12" s="661">
        <f>IF('Overview SRA'!$G$18="No",SUM(G12)-SUM($O12),"-")</f>
        <v>0</v>
      </c>
      <c r="N12" s="649">
        <f>IF('Overview SRA'!$G$18="No",SUM(H12)-SUM($O12),"-")</f>
        <v>0</v>
      </c>
      <c r="O12" s="637">
        <f>C59</f>
        <v>0</v>
      </c>
      <c r="P12" s="79"/>
      <c r="Q12" s="50"/>
      <c r="S12" s="152" t="s">
        <v>54</v>
      </c>
      <c r="T12" s="219">
        <v>0.25</v>
      </c>
      <c r="U12" s="219">
        <v>0.25</v>
      </c>
      <c r="V12" s="219">
        <v>0.25</v>
      </c>
      <c r="W12" s="219">
        <v>0.25</v>
      </c>
      <c r="X12" s="219">
        <v>0</v>
      </c>
      <c r="Y12" s="220">
        <v>1</v>
      </c>
      <c r="AG12" s="17" t="s">
        <v>0</v>
      </c>
    </row>
    <row r="13" spans="1:33" x14ac:dyDescent="0.25">
      <c r="L13" s="177"/>
      <c r="M13" s="177"/>
      <c r="N13" s="177"/>
      <c r="AG13" s="17" t="s">
        <v>0</v>
      </c>
    </row>
    <row r="14" spans="1:33" x14ac:dyDescent="0.25">
      <c r="B14" s="580" t="str">
        <f>IF(O8&gt;0,I73,"")</f>
        <v/>
      </c>
      <c r="C14" s="337"/>
      <c r="D14"/>
      <c r="E14" s="135"/>
      <c r="F14" s="135"/>
      <c r="G14" s="135"/>
      <c r="H14" s="135"/>
      <c r="I14" s="135"/>
      <c r="J14" s="135"/>
      <c r="K14" s="135"/>
      <c r="L14" s="179"/>
      <c r="M14" s="179"/>
      <c r="N14" s="179"/>
      <c r="O14" s="562"/>
      <c r="P14" s="562"/>
      <c r="Q14" s="136"/>
      <c r="R14" s="136"/>
      <c r="S14" s="136"/>
      <c r="T14" s="136"/>
      <c r="U14" s="136"/>
      <c r="V14" s="136"/>
      <c r="W14" s="136"/>
      <c r="X14" s="136"/>
      <c r="Y14" s="136"/>
      <c r="Z14" s="136"/>
      <c r="AG14" s="17" t="s">
        <v>0</v>
      </c>
    </row>
    <row r="15" spans="1:33" x14ac:dyDescent="0.25">
      <c r="B15"/>
      <c r="C15"/>
      <c r="D15"/>
      <c r="E15" s="135"/>
      <c r="F15" s="135"/>
      <c r="G15" s="135"/>
      <c r="H15" s="135"/>
      <c r="I15" s="135"/>
      <c r="J15" s="135"/>
      <c r="K15" s="135"/>
      <c r="L15" s="179"/>
      <c r="M15" s="179"/>
      <c r="N15" s="179"/>
      <c r="O15" s="136"/>
      <c r="P15" s="136"/>
      <c r="Q15" s="136"/>
      <c r="R15" s="136"/>
      <c r="S15" s="136"/>
      <c r="T15" s="136"/>
      <c r="U15" s="136"/>
      <c r="V15" s="136"/>
      <c r="W15" s="136"/>
      <c r="X15" s="136"/>
      <c r="Y15" s="136"/>
      <c r="Z15" s="136"/>
      <c r="AG15" s="17" t="s">
        <v>0</v>
      </c>
    </row>
    <row r="16" spans="1:33" x14ac:dyDescent="0.25">
      <c r="B16" s="155"/>
      <c r="C16" s="475" t="s">
        <v>492</v>
      </c>
      <c r="D16" s="494"/>
      <c r="E16" s="494"/>
      <c r="F16" s="494"/>
      <c r="G16" s="494"/>
      <c r="H16" s="494"/>
      <c r="I16" s="494"/>
      <c r="J16" s="133" t="s">
        <v>68</v>
      </c>
      <c r="K16" s="133"/>
      <c r="L16" s="133" t="s">
        <v>223</v>
      </c>
      <c r="M16" s="133"/>
      <c r="N16" s="475"/>
      <c r="O16" s="475"/>
      <c r="P16" s="475"/>
      <c r="Q16" s="475"/>
      <c r="R16" s="475"/>
      <c r="S16" s="475"/>
      <c r="T16" s="475"/>
      <c r="U16" s="494"/>
      <c r="V16" s="475" t="s">
        <v>224</v>
      </c>
      <c r="W16" s="475"/>
      <c r="X16" s="475"/>
      <c r="Y16" s="475"/>
      <c r="Z16" s="475"/>
      <c r="AA16" s="475"/>
      <c r="AB16" s="475"/>
      <c r="AC16" s="475"/>
      <c r="AD16" s="475"/>
      <c r="AE16" s="476"/>
      <c r="AG16" s="17" t="s">
        <v>0</v>
      </c>
    </row>
    <row r="17" spans="1:33" x14ac:dyDescent="0.25">
      <c r="B17" s="134"/>
      <c r="C17" s="180" t="s">
        <v>491</v>
      </c>
      <c r="D17" s="497" t="s">
        <v>486</v>
      </c>
      <c r="E17" s="498"/>
      <c r="F17" s="498"/>
      <c r="G17" s="498"/>
      <c r="H17" s="498"/>
      <c r="I17" s="82"/>
      <c r="J17" s="181" t="s">
        <v>69</v>
      </c>
      <c r="K17" s="74" t="s">
        <v>98</v>
      </c>
      <c r="L17" s="769" t="s">
        <v>82</v>
      </c>
      <c r="M17" s="770"/>
      <c r="N17" s="181" t="s">
        <v>65</v>
      </c>
      <c r="O17" s="181" t="s">
        <v>72</v>
      </c>
      <c r="P17" s="181" t="s">
        <v>75</v>
      </c>
      <c r="Q17" s="181" t="s">
        <v>80</v>
      </c>
      <c r="R17" s="181" t="s">
        <v>78</v>
      </c>
      <c r="S17" s="181" t="s">
        <v>8</v>
      </c>
      <c r="T17" s="158" t="s">
        <v>83</v>
      </c>
      <c r="U17" s="82"/>
      <c r="V17" s="160" t="s">
        <v>69</v>
      </c>
      <c r="W17" s="159" t="s">
        <v>14</v>
      </c>
      <c r="X17" s="480" t="s">
        <v>105</v>
      </c>
      <c r="Y17" s="482"/>
      <c r="Z17" s="482"/>
      <c r="AA17" s="482"/>
      <c r="AB17" s="481"/>
      <c r="AC17" s="74" t="s">
        <v>92</v>
      </c>
      <c r="AD17" s="159" t="s">
        <v>93</v>
      </c>
      <c r="AE17" s="160" t="s">
        <v>94</v>
      </c>
      <c r="AG17" s="17" t="s">
        <v>0</v>
      </c>
    </row>
    <row r="18" spans="1:33" x14ac:dyDescent="0.25">
      <c r="B18" s="137"/>
      <c r="C18" s="180" t="s">
        <v>393</v>
      </c>
      <c r="D18" s="499" t="s">
        <v>487</v>
      </c>
      <c r="E18" s="500" t="s">
        <v>226</v>
      </c>
      <c r="F18" s="500" t="s">
        <v>488</v>
      </c>
      <c r="G18" s="500" t="s">
        <v>65</v>
      </c>
      <c r="H18" s="500" t="s">
        <v>490</v>
      </c>
      <c r="I18" s="156"/>
      <c r="J18" s="181" t="s">
        <v>70</v>
      </c>
      <c r="K18" s="157" t="s">
        <v>99</v>
      </c>
      <c r="L18" s="161" t="s">
        <v>62</v>
      </c>
      <c r="M18" s="162" t="s">
        <v>64</v>
      </c>
      <c r="N18" s="181" t="s">
        <v>66</v>
      </c>
      <c r="O18" s="181" t="s">
        <v>73</v>
      </c>
      <c r="P18" s="181" t="s">
        <v>76</v>
      </c>
      <c r="Q18" s="181" t="s">
        <v>81</v>
      </c>
      <c r="R18" s="181" t="s">
        <v>79</v>
      </c>
      <c r="S18" s="181"/>
      <c r="T18" s="163" t="s">
        <v>85</v>
      </c>
      <c r="U18" s="156"/>
      <c r="V18" s="165" t="s">
        <v>70</v>
      </c>
      <c r="W18" s="164"/>
      <c r="X18" s="161" t="s">
        <v>84</v>
      </c>
      <c r="Y18" s="172" t="s">
        <v>225</v>
      </c>
      <c r="Z18" s="172" t="s">
        <v>226</v>
      </c>
      <c r="AA18" s="172" t="s">
        <v>97</v>
      </c>
      <c r="AB18" s="162" t="s">
        <v>89</v>
      </c>
      <c r="AC18" s="75" t="s">
        <v>71</v>
      </c>
      <c r="AD18" s="164" t="s">
        <v>71</v>
      </c>
      <c r="AE18" s="165" t="s">
        <v>71</v>
      </c>
      <c r="AG18" s="17" t="s">
        <v>0</v>
      </c>
    </row>
    <row r="19" spans="1:33" x14ac:dyDescent="0.25">
      <c r="B19" s="137"/>
      <c r="C19" s="181"/>
      <c r="D19" s="499" t="s">
        <v>86</v>
      </c>
      <c r="E19" s="500" t="s">
        <v>86</v>
      </c>
      <c r="F19" s="500" t="s">
        <v>489</v>
      </c>
      <c r="G19" s="500" t="s">
        <v>66</v>
      </c>
      <c r="H19" s="500" t="s">
        <v>87</v>
      </c>
      <c r="I19" s="156"/>
      <c r="J19" s="181" t="s">
        <v>71</v>
      </c>
      <c r="K19" s="75" t="s">
        <v>100</v>
      </c>
      <c r="L19" s="161" t="s">
        <v>63</v>
      </c>
      <c r="M19" s="162" t="s">
        <v>63</v>
      </c>
      <c r="N19" s="181" t="s">
        <v>67</v>
      </c>
      <c r="O19" s="181" t="s">
        <v>74</v>
      </c>
      <c r="P19" s="181" t="s">
        <v>77</v>
      </c>
      <c r="Q19" s="181"/>
      <c r="R19" s="164"/>
      <c r="S19" s="164"/>
      <c r="T19" s="163"/>
      <c r="U19" s="156"/>
      <c r="V19" s="165" t="s">
        <v>71</v>
      </c>
      <c r="W19" s="164"/>
      <c r="X19" s="161" t="s">
        <v>86</v>
      </c>
      <c r="Y19" s="172" t="s">
        <v>86</v>
      </c>
      <c r="Z19" s="172" t="s">
        <v>86</v>
      </c>
      <c r="AA19" s="172" t="s">
        <v>88</v>
      </c>
      <c r="AB19" s="162" t="s">
        <v>90</v>
      </c>
      <c r="AC19" s="75"/>
      <c r="AD19" s="164"/>
      <c r="AE19" s="165"/>
      <c r="AG19" s="17" t="s">
        <v>0</v>
      </c>
    </row>
    <row r="20" spans="1:33" x14ac:dyDescent="0.25">
      <c r="B20" s="137"/>
      <c r="C20" s="181"/>
      <c r="D20" s="496"/>
      <c r="E20" s="495"/>
      <c r="F20" s="495"/>
      <c r="G20" s="500" t="s">
        <v>67</v>
      </c>
      <c r="H20" s="502"/>
      <c r="I20" s="156"/>
      <c r="J20" s="181"/>
      <c r="K20" s="75" t="s">
        <v>101</v>
      </c>
      <c r="L20" s="163"/>
      <c r="M20" s="165"/>
      <c r="N20" s="181"/>
      <c r="O20" s="181"/>
      <c r="P20" s="181"/>
      <c r="Q20" s="181"/>
      <c r="R20" s="164"/>
      <c r="S20" s="164"/>
      <c r="T20" s="166"/>
      <c r="U20" s="156"/>
      <c r="V20" s="165"/>
      <c r="W20" s="164"/>
      <c r="X20" s="161"/>
      <c r="Y20" s="172"/>
      <c r="Z20" s="172"/>
      <c r="AA20" s="172" t="s">
        <v>87</v>
      </c>
      <c r="AB20" s="162" t="s">
        <v>91</v>
      </c>
      <c r="AC20" s="75"/>
      <c r="AD20" s="164"/>
      <c r="AE20" s="165"/>
      <c r="AG20" s="17" t="s">
        <v>0</v>
      </c>
    </row>
    <row r="21" spans="1:33" x14ac:dyDescent="0.25">
      <c r="A21" s="548" t="s">
        <v>536</v>
      </c>
      <c r="B21" s="134" t="s">
        <v>33</v>
      </c>
      <c r="C21" s="627">
        <f>IF($C$23="Up",SUM(C24),SUM(C26))</f>
        <v>0</v>
      </c>
      <c r="D21" s="77"/>
      <c r="E21" s="78"/>
      <c r="F21" s="78"/>
      <c r="G21" s="78"/>
      <c r="H21" s="49"/>
      <c r="I21" s="58"/>
      <c r="J21" s="49"/>
      <c r="K21" s="63" t="s">
        <v>95</v>
      </c>
      <c r="L21" s="25"/>
      <c r="M21" s="27"/>
      <c r="N21" s="26"/>
      <c r="O21" s="26"/>
      <c r="P21" s="26"/>
      <c r="Q21" s="26"/>
      <c r="R21" s="26"/>
      <c r="S21" s="26"/>
      <c r="T21" s="25"/>
      <c r="U21" s="156"/>
      <c r="V21" s="27"/>
      <c r="W21" s="26"/>
      <c r="X21" s="25"/>
      <c r="Y21" s="26"/>
      <c r="Z21" s="26"/>
      <c r="AA21" s="26"/>
      <c r="AB21" s="27"/>
      <c r="AC21" s="33"/>
      <c r="AD21" s="26"/>
      <c r="AE21" s="27"/>
      <c r="AG21" s="17" t="s">
        <v>0</v>
      </c>
    </row>
    <row r="22" spans="1:33" x14ac:dyDescent="0.25">
      <c r="A22" s="548" t="s">
        <v>537</v>
      </c>
      <c r="B22" s="137"/>
      <c r="C22" s="664">
        <f>IF($C$23="Up",SUM(C25),SUM(C27))</f>
        <v>0</v>
      </c>
      <c r="D22" s="628">
        <f t="shared" ref="D22:H22" si="0">IF($C$23="Up",SUM(D25),SUM(D27))</f>
        <v>0</v>
      </c>
      <c r="E22" s="644">
        <f t="shared" si="0"/>
        <v>0</v>
      </c>
      <c r="F22" s="644">
        <f t="shared" si="0"/>
        <v>0</v>
      </c>
      <c r="G22" s="644">
        <f t="shared" si="0"/>
        <v>0</v>
      </c>
      <c r="H22" s="636">
        <f t="shared" si="0"/>
        <v>0</v>
      </c>
      <c r="I22" s="58"/>
      <c r="J22" s="58"/>
      <c r="K22" s="64" t="s">
        <v>96</v>
      </c>
      <c r="L22" s="62"/>
      <c r="M22" s="32"/>
      <c r="N22" s="31"/>
      <c r="O22" s="31"/>
      <c r="P22" s="31"/>
      <c r="Q22" s="31"/>
      <c r="R22" s="31"/>
      <c r="S22" s="31"/>
      <c r="T22" s="62"/>
      <c r="U22" s="156"/>
      <c r="V22" s="32"/>
      <c r="W22" s="31"/>
      <c r="X22" s="62"/>
      <c r="Y22" s="31"/>
      <c r="Z22" s="31"/>
      <c r="AA22" s="31"/>
      <c r="AB22" s="32"/>
      <c r="AC22" s="130"/>
      <c r="AD22" s="31"/>
      <c r="AE22" s="32"/>
      <c r="AG22" s="17" t="s">
        <v>0</v>
      </c>
    </row>
    <row r="23" spans="1:33" x14ac:dyDescent="0.25">
      <c r="B23" s="137" t="s">
        <v>45</v>
      </c>
      <c r="C23" s="665" t="str">
        <f>IF('Overview SRA'!G18="Yes",IF(SUM(C24)&gt;SUM(C26),"Up","Down"),IF(SUM(C25)&gt;SUM(C27),"Up","Down"))</f>
        <v>Down</v>
      </c>
      <c r="D23" s="503"/>
      <c r="E23" s="501"/>
      <c r="F23" s="501"/>
      <c r="G23" s="501"/>
      <c r="H23" s="171"/>
      <c r="I23" s="58"/>
      <c r="J23" s="171"/>
      <c r="K23" s="140"/>
      <c r="L23" s="141"/>
      <c r="M23" s="142"/>
      <c r="N23" s="143"/>
      <c r="O23" s="143"/>
      <c r="P23" s="143"/>
      <c r="Q23" s="143"/>
      <c r="R23" s="143"/>
      <c r="S23" s="143"/>
      <c r="T23" s="141"/>
      <c r="U23" s="156"/>
      <c r="V23" s="142"/>
      <c r="W23" s="143"/>
      <c r="X23" s="141"/>
      <c r="Y23" s="143"/>
      <c r="Z23" s="143"/>
      <c r="AA23" s="143"/>
      <c r="AB23" s="142"/>
      <c r="AC23" s="140"/>
      <c r="AD23" s="143"/>
      <c r="AE23" s="142"/>
      <c r="AG23" s="17" t="s">
        <v>0</v>
      </c>
    </row>
    <row r="24" spans="1:33" x14ac:dyDescent="0.25">
      <c r="B24" s="137" t="s">
        <v>102</v>
      </c>
      <c r="C24" s="628">
        <f>SQRT(SUM(C28)^2+SUM(C32)^2)</f>
        <v>0</v>
      </c>
      <c r="D24" s="149"/>
      <c r="E24" s="81"/>
      <c r="F24" s="81"/>
      <c r="G24" s="81"/>
      <c r="H24" s="58"/>
      <c r="I24" s="58"/>
      <c r="J24" s="58"/>
      <c r="K24" s="64" t="s">
        <v>95</v>
      </c>
      <c r="L24" s="62"/>
      <c r="M24" s="32"/>
      <c r="N24" s="31"/>
      <c r="O24" s="31"/>
      <c r="P24" s="31"/>
      <c r="Q24" s="31"/>
      <c r="R24" s="31"/>
      <c r="S24" s="31"/>
      <c r="T24" s="62"/>
      <c r="U24" s="156"/>
      <c r="V24" s="32"/>
      <c r="W24" s="31"/>
      <c r="X24" s="62"/>
      <c r="Y24" s="31"/>
      <c r="Z24" s="31"/>
      <c r="AA24" s="31"/>
      <c r="AB24" s="32"/>
      <c r="AC24" s="130"/>
      <c r="AD24" s="31"/>
      <c r="AE24" s="32"/>
      <c r="AG24" s="17" t="s">
        <v>0</v>
      </c>
    </row>
    <row r="25" spans="1:33" x14ac:dyDescent="0.25">
      <c r="B25" s="137"/>
      <c r="C25" s="628">
        <f>SQRT(SUM(C29)^2+SUM(C33)^2)</f>
        <v>0</v>
      </c>
      <c r="D25" s="628">
        <f t="shared" ref="D25:H25" si="1">SQRT(SUM(D29)^2+SUM(D33)^2)</f>
        <v>0</v>
      </c>
      <c r="E25" s="644">
        <f t="shared" si="1"/>
        <v>0</v>
      </c>
      <c r="F25" s="644">
        <f t="shared" si="1"/>
        <v>0</v>
      </c>
      <c r="G25" s="644">
        <f t="shared" si="1"/>
        <v>0</v>
      </c>
      <c r="H25" s="636">
        <f t="shared" si="1"/>
        <v>0</v>
      </c>
      <c r="I25" s="58"/>
      <c r="J25" s="58"/>
      <c r="K25" s="64" t="s">
        <v>96</v>
      </c>
      <c r="L25" s="62"/>
      <c r="M25" s="32"/>
      <c r="N25" s="31"/>
      <c r="O25" s="31"/>
      <c r="P25" s="31"/>
      <c r="Q25" s="31"/>
      <c r="R25" s="31"/>
      <c r="S25" s="31"/>
      <c r="T25" s="62"/>
      <c r="U25" s="156"/>
      <c r="V25" s="32"/>
      <c r="W25" s="31"/>
      <c r="X25" s="62"/>
      <c r="Y25" s="31"/>
      <c r="Z25" s="31"/>
      <c r="AA25" s="31"/>
      <c r="AB25" s="32"/>
      <c r="AC25" s="130"/>
      <c r="AD25" s="31"/>
      <c r="AE25" s="32"/>
      <c r="AG25" s="17" t="s">
        <v>0</v>
      </c>
    </row>
    <row r="26" spans="1:33" x14ac:dyDescent="0.25">
      <c r="B26" s="137" t="s">
        <v>103</v>
      </c>
      <c r="C26" s="628">
        <f>SQRT(SUM(C30)^2+SUM(C34)^2)</f>
        <v>0</v>
      </c>
      <c r="D26" s="149"/>
      <c r="E26" s="81"/>
      <c r="F26" s="81"/>
      <c r="G26" s="81"/>
      <c r="H26" s="58"/>
      <c r="I26" s="58"/>
      <c r="J26" s="58"/>
      <c r="K26" s="64" t="s">
        <v>95</v>
      </c>
      <c r="L26" s="62"/>
      <c r="M26" s="32"/>
      <c r="N26" s="31"/>
      <c r="O26" s="31"/>
      <c r="P26" s="31"/>
      <c r="Q26" s="31"/>
      <c r="R26" s="31"/>
      <c r="S26" s="31"/>
      <c r="T26" s="62"/>
      <c r="U26" s="156"/>
      <c r="V26" s="32"/>
      <c r="W26" s="31"/>
      <c r="X26" s="62"/>
      <c r="Y26" s="31"/>
      <c r="Z26" s="31"/>
      <c r="AA26" s="31"/>
      <c r="AB26" s="32"/>
      <c r="AC26" s="130"/>
      <c r="AD26" s="31"/>
      <c r="AE26" s="32"/>
      <c r="AG26" s="17" t="s">
        <v>0</v>
      </c>
    </row>
    <row r="27" spans="1:33" x14ac:dyDescent="0.25">
      <c r="B27" s="137"/>
      <c r="C27" s="664">
        <f>SQRT(SUM(C31)^2+SUM(C35)^2)</f>
        <v>0</v>
      </c>
      <c r="D27" s="664">
        <f t="shared" ref="D27:H27" si="2">SQRT(SUM(D31)^2+SUM(D35)^2)</f>
        <v>0</v>
      </c>
      <c r="E27" s="645">
        <f t="shared" si="2"/>
        <v>0</v>
      </c>
      <c r="F27" s="645">
        <f t="shared" si="2"/>
        <v>0</v>
      </c>
      <c r="G27" s="645">
        <f t="shared" si="2"/>
        <v>0</v>
      </c>
      <c r="H27" s="637">
        <f t="shared" si="2"/>
        <v>0</v>
      </c>
      <c r="I27" s="58"/>
      <c r="J27" s="50"/>
      <c r="K27" s="64" t="s">
        <v>96</v>
      </c>
      <c r="L27" s="62"/>
      <c r="M27" s="32"/>
      <c r="N27" s="28"/>
      <c r="O27" s="29"/>
      <c r="P27" s="31"/>
      <c r="Q27" s="31"/>
      <c r="R27" s="31"/>
      <c r="S27" s="31"/>
      <c r="T27" s="62"/>
      <c r="U27" s="156"/>
      <c r="V27" s="32"/>
      <c r="W27" s="31"/>
      <c r="X27" s="62"/>
      <c r="Y27" s="31"/>
      <c r="Z27" s="31"/>
      <c r="AA27" s="31"/>
      <c r="AB27" s="32"/>
      <c r="AC27" s="34"/>
      <c r="AD27" s="31"/>
      <c r="AE27" s="32"/>
      <c r="AG27" s="17" t="s">
        <v>0</v>
      </c>
    </row>
    <row r="28" spans="1:33" x14ac:dyDescent="0.25">
      <c r="B28" s="147" t="s">
        <v>115</v>
      </c>
      <c r="C28" s="627">
        <f t="shared" ref="C28:C35" si="3">MAX(SUM(J28)-SUM(V28),0)</f>
        <v>0</v>
      </c>
      <c r="D28" s="149"/>
      <c r="E28" s="81"/>
      <c r="F28" s="81"/>
      <c r="G28" s="81"/>
      <c r="H28" s="58"/>
      <c r="I28" s="58"/>
      <c r="J28" s="639">
        <f>SUM('Balance sheet'!$F$8)</f>
        <v>0</v>
      </c>
      <c r="K28" s="63" t="s">
        <v>95</v>
      </c>
      <c r="L28" s="460" t="s">
        <v>5</v>
      </c>
      <c r="M28" s="67" t="s">
        <v>5</v>
      </c>
      <c r="N28" s="461" t="s">
        <v>5</v>
      </c>
      <c r="O28" s="461" t="s">
        <v>5</v>
      </c>
      <c r="P28" s="66" t="s">
        <v>5</v>
      </c>
      <c r="Q28" s="66" t="s">
        <v>5</v>
      </c>
      <c r="R28" s="66" t="s">
        <v>5</v>
      </c>
      <c r="S28" s="469" t="s">
        <v>5</v>
      </c>
      <c r="T28" s="627">
        <f>SUM(L28:S28)</f>
        <v>0</v>
      </c>
      <c r="U28" s="156"/>
      <c r="V28" s="623">
        <f t="shared" ref="V28:V35" si="4">IF(T28&gt;0,SUM(T28)-SUM(W28:AE28),J28)</f>
        <v>0</v>
      </c>
      <c r="W28" s="652">
        <f>SUM('Balance sheet'!$F$11)</f>
        <v>0</v>
      </c>
      <c r="X28" s="467" t="s">
        <v>5</v>
      </c>
      <c r="Y28" s="66" t="s">
        <v>5</v>
      </c>
      <c r="Z28" s="66" t="s">
        <v>5</v>
      </c>
      <c r="AA28" s="66" t="s">
        <v>5</v>
      </c>
      <c r="AB28" s="67" t="s">
        <v>5</v>
      </c>
      <c r="AC28" s="639">
        <f>SUM(Q28)</f>
        <v>0</v>
      </c>
      <c r="AD28" s="66" t="s">
        <v>5</v>
      </c>
      <c r="AE28" s="67" t="s">
        <v>5</v>
      </c>
      <c r="AG28" s="17" t="s">
        <v>0</v>
      </c>
    </row>
    <row r="29" spans="1:33" x14ac:dyDescent="0.25">
      <c r="B29" s="147" t="s">
        <v>114</v>
      </c>
      <c r="C29" s="628">
        <f t="shared" si="3"/>
        <v>0</v>
      </c>
      <c r="D29" s="628">
        <f>MAX(SUM(C28)+SUM(Y29)-SUM(Y28),0)</f>
        <v>0</v>
      </c>
      <c r="E29" s="644">
        <f>MAX(SUM(C28)+SUM(Z29)-SUM(Z28),0)</f>
        <v>0</v>
      </c>
      <c r="F29" s="644">
        <f>MAX(SUM(C28)+SUM(L28:M28)-SUM(L29:M29),0)</f>
        <v>0</v>
      </c>
      <c r="G29" s="644">
        <f>MAX(SUM(C28)+SUM(N28)-SUM(N29),0)</f>
        <v>0</v>
      </c>
      <c r="H29" s="636">
        <f>MAX(SUM(C28)+SUM(AA29:AB29)-SUM(AA28:AB28),0)</f>
        <v>0</v>
      </c>
      <c r="I29" s="58"/>
      <c r="J29" s="636">
        <f>SUM('Balance sheet'!$F$8)</f>
        <v>0</v>
      </c>
      <c r="K29" s="64" t="s">
        <v>96</v>
      </c>
      <c r="L29" s="458" t="s">
        <v>5</v>
      </c>
      <c r="M29" s="169" t="s">
        <v>5</v>
      </c>
      <c r="N29" s="461" t="s">
        <v>5</v>
      </c>
      <c r="O29" s="461" t="s">
        <v>5</v>
      </c>
      <c r="P29" s="170" t="s">
        <v>5</v>
      </c>
      <c r="Q29" s="170" t="s">
        <v>5</v>
      </c>
      <c r="R29" s="170" t="s">
        <v>5</v>
      </c>
      <c r="S29" s="470" t="s">
        <v>5</v>
      </c>
      <c r="T29" s="628">
        <f>SUM(L29:S29)</f>
        <v>0</v>
      </c>
      <c r="U29" s="156"/>
      <c r="V29" s="624">
        <f t="shared" si="4"/>
        <v>0</v>
      </c>
      <c r="W29" s="644">
        <f>SUM('Balance sheet'!$F$11)</f>
        <v>0</v>
      </c>
      <c r="X29" s="458" t="s">
        <v>5</v>
      </c>
      <c r="Y29" s="170" t="s">
        <v>5</v>
      </c>
      <c r="Z29" s="170" t="s">
        <v>5</v>
      </c>
      <c r="AA29" s="170" t="s">
        <v>5</v>
      </c>
      <c r="AB29" s="169" t="s">
        <v>5</v>
      </c>
      <c r="AC29" s="636">
        <f t="shared" ref="AC29:AC35" si="5">SUM(Q29)</f>
        <v>0</v>
      </c>
      <c r="AD29" s="170" t="s">
        <v>5</v>
      </c>
      <c r="AE29" s="169" t="s">
        <v>5</v>
      </c>
      <c r="AG29" s="17" t="s">
        <v>0</v>
      </c>
    </row>
    <row r="30" spans="1:33" x14ac:dyDescent="0.25">
      <c r="B30" s="147" t="s">
        <v>113</v>
      </c>
      <c r="C30" s="628">
        <f t="shared" si="3"/>
        <v>0</v>
      </c>
      <c r="D30" s="149"/>
      <c r="E30" s="81"/>
      <c r="F30" s="81"/>
      <c r="G30" s="81"/>
      <c r="H30" s="58"/>
      <c r="I30" s="58"/>
      <c r="J30" s="636">
        <f>SUM('Balance sheet'!$F$8)</f>
        <v>0</v>
      </c>
      <c r="K30" s="64" t="s">
        <v>95</v>
      </c>
      <c r="L30" s="458" t="s">
        <v>5</v>
      </c>
      <c r="M30" s="169" t="s">
        <v>5</v>
      </c>
      <c r="N30" s="461" t="s">
        <v>5</v>
      </c>
      <c r="O30" s="471" t="s">
        <v>5</v>
      </c>
      <c r="P30" s="170" t="s">
        <v>5</v>
      </c>
      <c r="Q30" s="170" t="s">
        <v>5</v>
      </c>
      <c r="R30" s="170" t="s">
        <v>5</v>
      </c>
      <c r="S30" s="470" t="s">
        <v>5</v>
      </c>
      <c r="T30" s="628">
        <f t="shared" ref="T30:T35" si="6">SUM(L30:S30)</f>
        <v>0</v>
      </c>
      <c r="U30" s="156"/>
      <c r="V30" s="624">
        <f t="shared" si="4"/>
        <v>0</v>
      </c>
      <c r="W30" s="644">
        <f>SUM('Balance sheet'!$F$11)</f>
        <v>0</v>
      </c>
      <c r="X30" s="458" t="s">
        <v>5</v>
      </c>
      <c r="Y30" s="170" t="s">
        <v>5</v>
      </c>
      <c r="Z30" s="170" t="s">
        <v>5</v>
      </c>
      <c r="AA30" s="170" t="s">
        <v>5</v>
      </c>
      <c r="AB30" s="169" t="s">
        <v>5</v>
      </c>
      <c r="AC30" s="636">
        <f t="shared" si="5"/>
        <v>0</v>
      </c>
      <c r="AD30" s="170" t="s">
        <v>5</v>
      </c>
      <c r="AE30" s="169" t="s">
        <v>5</v>
      </c>
      <c r="AG30" s="17" t="s">
        <v>0</v>
      </c>
    </row>
    <row r="31" spans="1:33" x14ac:dyDescent="0.25">
      <c r="B31" s="147" t="s">
        <v>112</v>
      </c>
      <c r="C31" s="628">
        <f t="shared" si="3"/>
        <v>0</v>
      </c>
      <c r="D31" s="628">
        <f>MAX(SUM(C30)+SUM(Y31)-SUM(Y30),0)</f>
        <v>0</v>
      </c>
      <c r="E31" s="644">
        <f>MAX(SUM(C30)+SUM(Z31)-SUM(Z30),0)</f>
        <v>0</v>
      </c>
      <c r="F31" s="644">
        <f>MAX(SUM(C30)+SUM(L30:M30)-SUM(L31:M31),0)</f>
        <v>0</v>
      </c>
      <c r="G31" s="644">
        <f>MAX(SUM(C30)+SUM(N30)-SUM(N31),0)</f>
        <v>0</v>
      </c>
      <c r="H31" s="636">
        <f>MAX(SUM(C30)+SUM(AA31:AB31)-SUM(AA30:AB30),0)</f>
        <v>0</v>
      </c>
      <c r="I31" s="58"/>
      <c r="J31" s="636">
        <f>SUM('Balance sheet'!$F$8)</f>
        <v>0</v>
      </c>
      <c r="K31" s="64" t="s">
        <v>96</v>
      </c>
      <c r="L31" s="458" t="s">
        <v>5</v>
      </c>
      <c r="M31" s="169" t="s">
        <v>5</v>
      </c>
      <c r="N31" s="461" t="s">
        <v>5</v>
      </c>
      <c r="O31" s="461" t="s">
        <v>5</v>
      </c>
      <c r="P31" s="170" t="s">
        <v>5</v>
      </c>
      <c r="Q31" s="170" t="s">
        <v>5</v>
      </c>
      <c r="R31" s="170" t="s">
        <v>5</v>
      </c>
      <c r="S31" s="470" t="s">
        <v>5</v>
      </c>
      <c r="T31" s="628">
        <f t="shared" si="6"/>
        <v>0</v>
      </c>
      <c r="U31" s="156"/>
      <c r="V31" s="624">
        <f t="shared" si="4"/>
        <v>0</v>
      </c>
      <c r="W31" s="654">
        <f>SUM('Balance sheet'!$F$11)</f>
        <v>0</v>
      </c>
      <c r="X31" s="468" t="s">
        <v>5</v>
      </c>
      <c r="Y31" s="170" t="s">
        <v>5</v>
      </c>
      <c r="Z31" s="170" t="s">
        <v>5</v>
      </c>
      <c r="AA31" s="170" t="s">
        <v>5</v>
      </c>
      <c r="AB31" s="169" t="s">
        <v>5</v>
      </c>
      <c r="AC31" s="636">
        <f t="shared" si="5"/>
        <v>0</v>
      </c>
      <c r="AD31" s="170" t="s">
        <v>5</v>
      </c>
      <c r="AE31" s="169" t="s">
        <v>5</v>
      </c>
      <c r="AG31" s="17" t="s">
        <v>0</v>
      </c>
    </row>
    <row r="32" spans="1:33" x14ac:dyDescent="0.25">
      <c r="B32" s="147" t="s">
        <v>116</v>
      </c>
      <c r="C32" s="628">
        <f t="shared" si="3"/>
        <v>0</v>
      </c>
      <c r="D32" s="149"/>
      <c r="E32" s="81"/>
      <c r="F32" s="81"/>
      <c r="G32" s="81"/>
      <c r="H32" s="58"/>
      <c r="I32" s="58"/>
      <c r="J32" s="636">
        <f>SUM('Balance sheet'!$F$8)</f>
        <v>0</v>
      </c>
      <c r="K32" s="64" t="s">
        <v>95</v>
      </c>
      <c r="L32" s="458" t="s">
        <v>5</v>
      </c>
      <c r="M32" s="169" t="s">
        <v>5</v>
      </c>
      <c r="N32" s="170" t="s">
        <v>5</v>
      </c>
      <c r="O32" s="461" t="s">
        <v>5</v>
      </c>
      <c r="P32" s="182" t="s">
        <v>5</v>
      </c>
      <c r="Q32" s="182" t="s">
        <v>5</v>
      </c>
      <c r="R32" s="182" t="s">
        <v>5</v>
      </c>
      <c r="S32" s="470" t="s">
        <v>5</v>
      </c>
      <c r="T32" s="628">
        <f t="shared" si="6"/>
        <v>0</v>
      </c>
      <c r="U32" s="156"/>
      <c r="V32" s="636">
        <f t="shared" si="4"/>
        <v>0</v>
      </c>
      <c r="W32" s="654">
        <f>SUM('Balance sheet'!$F$11)</f>
        <v>0</v>
      </c>
      <c r="X32" s="468" t="s">
        <v>5</v>
      </c>
      <c r="Y32" s="170" t="s">
        <v>5</v>
      </c>
      <c r="Z32" s="170" t="s">
        <v>5</v>
      </c>
      <c r="AA32" s="170" t="s">
        <v>5</v>
      </c>
      <c r="AB32" s="169" t="s">
        <v>5</v>
      </c>
      <c r="AC32" s="636">
        <f t="shared" si="5"/>
        <v>0</v>
      </c>
      <c r="AD32" s="170" t="s">
        <v>5</v>
      </c>
      <c r="AE32" s="169" t="s">
        <v>5</v>
      </c>
      <c r="AG32" s="17" t="s">
        <v>0</v>
      </c>
    </row>
    <row r="33" spans="1:33" x14ac:dyDescent="0.25">
      <c r="B33" s="147" t="s">
        <v>117</v>
      </c>
      <c r="C33" s="628">
        <f t="shared" si="3"/>
        <v>0</v>
      </c>
      <c r="D33" s="628">
        <f>MAX(SUM(C32)+SUM(Y33)-SUM(Y32),0)</f>
        <v>0</v>
      </c>
      <c r="E33" s="644">
        <f>MAX(SUM(C32)+SUM(Z33)-SUM(Z32),0)</f>
        <v>0</v>
      </c>
      <c r="F33" s="644">
        <f>MAX(SUM(C32)+SUM(L32:M32)-SUM(L33:M33),0)</f>
        <v>0</v>
      </c>
      <c r="G33" s="644">
        <f>MAX(SUM(C32)+SUM(N32)-SUM(N33),0)</f>
        <v>0</v>
      </c>
      <c r="H33" s="636">
        <f>MAX(SUM(C32)+SUM(AA33:AB33)-SUM(AA32:AB32),0)</f>
        <v>0</v>
      </c>
      <c r="I33" s="58"/>
      <c r="J33" s="636">
        <f>SUM('Balance sheet'!$F$8)</f>
        <v>0</v>
      </c>
      <c r="K33" s="64" t="s">
        <v>96</v>
      </c>
      <c r="L33" s="458" t="s">
        <v>5</v>
      </c>
      <c r="M33" s="169" t="s">
        <v>5</v>
      </c>
      <c r="N33" s="170" t="s">
        <v>5</v>
      </c>
      <c r="O33" s="461" t="s">
        <v>5</v>
      </c>
      <c r="P33" s="170" t="s">
        <v>5</v>
      </c>
      <c r="Q33" s="170" t="s">
        <v>5</v>
      </c>
      <c r="R33" s="170" t="s">
        <v>5</v>
      </c>
      <c r="S33" s="470" t="s">
        <v>5</v>
      </c>
      <c r="T33" s="628">
        <f>SUM(L33:S33)</f>
        <v>0</v>
      </c>
      <c r="U33" s="156"/>
      <c r="V33" s="636">
        <f t="shared" si="4"/>
        <v>0</v>
      </c>
      <c r="W33" s="644">
        <f>SUM('Balance sheet'!$F$11)</f>
        <v>0</v>
      </c>
      <c r="X33" s="458" t="s">
        <v>5</v>
      </c>
      <c r="Y33" s="170" t="s">
        <v>5</v>
      </c>
      <c r="Z33" s="170" t="s">
        <v>5</v>
      </c>
      <c r="AA33" s="170" t="s">
        <v>5</v>
      </c>
      <c r="AB33" s="169" t="s">
        <v>5</v>
      </c>
      <c r="AC33" s="636">
        <f t="shared" si="5"/>
        <v>0</v>
      </c>
      <c r="AD33" s="170" t="s">
        <v>5</v>
      </c>
      <c r="AE33" s="169" t="s">
        <v>5</v>
      </c>
      <c r="AG33" s="17" t="s">
        <v>0</v>
      </c>
    </row>
    <row r="34" spans="1:33" x14ac:dyDescent="0.25">
      <c r="B34" s="147" t="s">
        <v>118</v>
      </c>
      <c r="C34" s="628">
        <f t="shared" si="3"/>
        <v>0</v>
      </c>
      <c r="D34" s="149"/>
      <c r="E34" s="81"/>
      <c r="F34" s="81"/>
      <c r="G34" s="81"/>
      <c r="H34" s="58"/>
      <c r="I34" s="58"/>
      <c r="J34" s="636">
        <f>SUM('Balance sheet'!$F$8)</f>
        <v>0</v>
      </c>
      <c r="K34" s="64" t="s">
        <v>95</v>
      </c>
      <c r="L34" s="458" t="s">
        <v>5</v>
      </c>
      <c r="M34" s="169" t="s">
        <v>5</v>
      </c>
      <c r="N34" s="170" t="s">
        <v>5</v>
      </c>
      <c r="O34" s="461" t="s">
        <v>5</v>
      </c>
      <c r="P34" s="170" t="s">
        <v>5</v>
      </c>
      <c r="Q34" s="170" t="s">
        <v>5</v>
      </c>
      <c r="R34" s="170" t="s">
        <v>5</v>
      </c>
      <c r="S34" s="470" t="s">
        <v>5</v>
      </c>
      <c r="T34" s="628">
        <f t="shared" si="6"/>
        <v>0</v>
      </c>
      <c r="U34" s="156"/>
      <c r="V34" s="636">
        <f t="shared" si="4"/>
        <v>0</v>
      </c>
      <c r="W34" s="644">
        <f>SUM('Balance sheet'!$F$11)</f>
        <v>0</v>
      </c>
      <c r="X34" s="458" t="s">
        <v>5</v>
      </c>
      <c r="Y34" s="170" t="s">
        <v>5</v>
      </c>
      <c r="Z34" s="170" t="s">
        <v>5</v>
      </c>
      <c r="AA34" s="170" t="s">
        <v>5</v>
      </c>
      <c r="AB34" s="169" t="s">
        <v>5</v>
      </c>
      <c r="AC34" s="636">
        <f t="shared" si="5"/>
        <v>0</v>
      </c>
      <c r="AD34" s="170" t="s">
        <v>5</v>
      </c>
      <c r="AE34" s="169" t="s">
        <v>5</v>
      </c>
      <c r="AG34" s="17" t="s">
        <v>0</v>
      </c>
    </row>
    <row r="35" spans="1:33" x14ac:dyDescent="0.25">
      <c r="B35" s="147" t="s">
        <v>119</v>
      </c>
      <c r="C35" s="664">
        <f t="shared" si="3"/>
        <v>0</v>
      </c>
      <c r="D35" s="628">
        <f>MAX(SUM(C34)+SUM(Y35)-SUM(Y34),0)</f>
        <v>0</v>
      </c>
      <c r="E35" s="644">
        <f>MAX(SUM(C34)+SUM(Z35)-SUM(Z34),0)</f>
        <v>0</v>
      </c>
      <c r="F35" s="644">
        <f>MAX(SUM(C34)+SUM(L34:M34)-SUM(L35:M35),0)</f>
        <v>0</v>
      </c>
      <c r="G35" s="644">
        <f>MAX(SUM(C34)+SUM(N34)-SUM(N35),0)</f>
        <v>0</v>
      </c>
      <c r="H35" s="636">
        <f>MAX(SUM(C34)+SUM(AA35:AB35)-SUM(AA34:AB34),0)</f>
        <v>0</v>
      </c>
      <c r="I35" s="58"/>
      <c r="J35" s="637">
        <f>SUM('Balance sheet'!$F$8)</f>
        <v>0</v>
      </c>
      <c r="K35" s="86" t="s">
        <v>96</v>
      </c>
      <c r="L35" s="459" t="s">
        <v>5</v>
      </c>
      <c r="M35" s="70" t="s">
        <v>5</v>
      </c>
      <c r="N35" s="69" t="s">
        <v>5</v>
      </c>
      <c r="O35" s="461" t="s">
        <v>5</v>
      </c>
      <c r="P35" s="69" t="s">
        <v>5</v>
      </c>
      <c r="Q35" s="69" t="s">
        <v>5</v>
      </c>
      <c r="R35" s="69" t="s">
        <v>5</v>
      </c>
      <c r="S35" s="471" t="s">
        <v>5</v>
      </c>
      <c r="T35" s="664">
        <f t="shared" si="6"/>
        <v>0</v>
      </c>
      <c r="U35" s="156"/>
      <c r="V35" s="637">
        <f t="shared" si="4"/>
        <v>0</v>
      </c>
      <c r="W35" s="658">
        <f>SUM('Balance sheet'!$F$11)</f>
        <v>0</v>
      </c>
      <c r="X35" s="466" t="s">
        <v>5</v>
      </c>
      <c r="Y35" s="69" t="s">
        <v>5</v>
      </c>
      <c r="Z35" s="69" t="s">
        <v>5</v>
      </c>
      <c r="AA35" s="69" t="s">
        <v>5</v>
      </c>
      <c r="AB35" s="70" t="s">
        <v>5</v>
      </c>
      <c r="AC35" s="637">
        <f t="shared" si="5"/>
        <v>0</v>
      </c>
      <c r="AD35" s="69" t="s">
        <v>5</v>
      </c>
      <c r="AE35" s="70" t="s">
        <v>5</v>
      </c>
      <c r="AG35" s="17" t="s">
        <v>0</v>
      </c>
    </row>
    <row r="36" spans="1:33" x14ac:dyDescent="0.25">
      <c r="A36" s="548" t="s">
        <v>581</v>
      </c>
      <c r="B36" s="134" t="s">
        <v>34</v>
      </c>
      <c r="C36" s="627">
        <f>SQRT(SUM(C38)^2+SUM(C40)^2+2*G77*SUM(C38)*SUM(C40))</f>
        <v>0</v>
      </c>
      <c r="D36" s="77"/>
      <c r="E36" s="78"/>
      <c r="F36" s="78"/>
      <c r="G36" s="78"/>
      <c r="H36" s="49"/>
      <c r="I36" s="58"/>
      <c r="J36" s="49"/>
      <c r="K36" s="63" t="s">
        <v>95</v>
      </c>
      <c r="L36" s="77"/>
      <c r="M36" s="49"/>
      <c r="N36" s="78"/>
      <c r="O36" s="78"/>
      <c r="P36" s="78"/>
      <c r="Q36" s="78"/>
      <c r="R36" s="78"/>
      <c r="S36" s="78"/>
      <c r="T36" s="77"/>
      <c r="U36" s="156"/>
      <c r="V36" s="58"/>
      <c r="W36" s="26"/>
      <c r="X36" s="149"/>
      <c r="Y36" s="81"/>
      <c r="Z36" s="81"/>
      <c r="AA36" s="81"/>
      <c r="AB36" s="81"/>
      <c r="AC36" s="156"/>
      <c r="AD36" s="78"/>
      <c r="AE36" s="49"/>
      <c r="AG36" s="17" t="s">
        <v>0</v>
      </c>
    </row>
    <row r="37" spans="1:33" x14ac:dyDescent="0.25">
      <c r="B37" s="137"/>
      <c r="C37" s="664">
        <f>SQRT(SUM(C39)^2+SUM(C41)^2+2*$G$77*SUM(C39)*SUM(C41))</f>
        <v>0</v>
      </c>
      <c r="D37" s="664">
        <f t="shared" ref="D37:H37" si="7">SQRT(SUM(D39)^2+SUM(D41)^2+2*$G$77*SUM(D39)*SUM(D41))</f>
        <v>0</v>
      </c>
      <c r="E37" s="645">
        <f t="shared" si="7"/>
        <v>0</v>
      </c>
      <c r="F37" s="645">
        <f t="shared" si="7"/>
        <v>0</v>
      </c>
      <c r="G37" s="645">
        <f t="shared" si="7"/>
        <v>0</v>
      </c>
      <c r="H37" s="637">
        <f t="shared" si="7"/>
        <v>0</v>
      </c>
      <c r="I37" s="58"/>
      <c r="J37" s="50"/>
      <c r="K37" s="64" t="s">
        <v>96</v>
      </c>
      <c r="L37" s="149"/>
      <c r="M37" s="58"/>
      <c r="N37" s="81"/>
      <c r="O37" s="81"/>
      <c r="P37" s="81"/>
      <c r="Q37" s="81"/>
      <c r="R37" s="81"/>
      <c r="S37" s="81"/>
      <c r="T37" s="149"/>
      <c r="U37" s="156"/>
      <c r="V37" s="58"/>
      <c r="W37" s="31"/>
      <c r="X37" s="149"/>
      <c r="Y37" s="81"/>
      <c r="Z37" s="81"/>
      <c r="AA37" s="81"/>
      <c r="AB37" s="81"/>
      <c r="AC37" s="156"/>
      <c r="AD37" s="81"/>
      <c r="AE37" s="58"/>
      <c r="AG37" s="17" t="s">
        <v>0</v>
      </c>
    </row>
    <row r="38" spans="1:33" x14ac:dyDescent="0.25">
      <c r="A38" s="548" t="s">
        <v>525</v>
      </c>
      <c r="B38" s="223" t="s">
        <v>241</v>
      </c>
      <c r="C38" s="627">
        <f t="shared" ref="C38:C43" si="8">MAX(SUM(J38)-SUM(V38),0)</f>
        <v>0</v>
      </c>
      <c r="D38" s="149"/>
      <c r="E38" s="81"/>
      <c r="F38" s="81"/>
      <c r="G38" s="81"/>
      <c r="H38" s="58"/>
      <c r="I38" s="58"/>
      <c r="J38" s="639">
        <f>SUM('Balance sheet'!$F$8)</f>
        <v>0</v>
      </c>
      <c r="K38" s="63" t="s">
        <v>95</v>
      </c>
      <c r="L38" s="460" t="s">
        <v>5</v>
      </c>
      <c r="M38" s="67" t="s">
        <v>5</v>
      </c>
      <c r="N38" s="462" t="s">
        <v>5</v>
      </c>
      <c r="O38" s="462" t="s">
        <v>5</v>
      </c>
      <c r="P38" s="66" t="s">
        <v>5</v>
      </c>
      <c r="Q38" s="66" t="s">
        <v>5</v>
      </c>
      <c r="R38" s="66" t="s">
        <v>5</v>
      </c>
      <c r="S38" s="469" t="s">
        <v>5</v>
      </c>
      <c r="T38" s="627">
        <f>SUM(L38:S38)</f>
        <v>0</v>
      </c>
      <c r="U38" s="156"/>
      <c r="V38" s="623">
        <f>IF(T38&gt;0,SUM(T38)-SUM(W38:AE38),J38)</f>
        <v>0</v>
      </c>
      <c r="W38" s="652">
        <f>SUM('Balance sheet'!$F$11)</f>
        <v>0</v>
      </c>
      <c r="X38" s="467" t="s">
        <v>5</v>
      </c>
      <c r="Y38" s="66" t="s">
        <v>5</v>
      </c>
      <c r="Z38" s="66" t="s">
        <v>5</v>
      </c>
      <c r="AA38" s="66" t="s">
        <v>5</v>
      </c>
      <c r="AB38" s="67" t="s">
        <v>5</v>
      </c>
      <c r="AC38" s="590">
        <f>SUM(Q38)</f>
        <v>0</v>
      </c>
      <c r="AD38" s="66" t="s">
        <v>5</v>
      </c>
      <c r="AE38" s="67" t="s">
        <v>5</v>
      </c>
      <c r="AG38" s="17" t="s">
        <v>0</v>
      </c>
    </row>
    <row r="39" spans="1:33" x14ac:dyDescent="0.25">
      <c r="A39" s="549"/>
      <c r="B39" s="137"/>
      <c r="C39" s="628">
        <f t="shared" si="8"/>
        <v>0</v>
      </c>
      <c r="D39" s="628">
        <f>MAX(SUM(C38)+SUM(Y39)-SUM(Y38),0)</f>
        <v>0</v>
      </c>
      <c r="E39" s="644">
        <f>MAX(SUM(C38)+SUM(Z39)-SUM(Z38),0)</f>
        <v>0</v>
      </c>
      <c r="F39" s="644">
        <f>MAX(SUM(C38)+SUM(L38:M38)-SUM(L39:M39),0)</f>
        <v>0</v>
      </c>
      <c r="G39" s="644">
        <f>MAX(SUM(C38)+SUM(N38)-SUM(N39),0)</f>
        <v>0</v>
      </c>
      <c r="H39" s="636">
        <f>MAX(SUM(C38)+SUM(AA39:AB39)-SUM(AA38:AB38),0)</f>
        <v>0</v>
      </c>
      <c r="I39" s="58"/>
      <c r="J39" s="636">
        <f>SUM('Balance sheet'!$F$8)</f>
        <v>0</v>
      </c>
      <c r="K39" s="64" t="s">
        <v>96</v>
      </c>
      <c r="L39" s="458" t="s">
        <v>5</v>
      </c>
      <c r="M39" s="169" t="s">
        <v>5</v>
      </c>
      <c r="N39" s="461" t="s">
        <v>5</v>
      </c>
      <c r="O39" s="461" t="s">
        <v>5</v>
      </c>
      <c r="P39" s="170" t="s">
        <v>5</v>
      </c>
      <c r="Q39" s="170" t="s">
        <v>5</v>
      </c>
      <c r="R39" s="170" t="s">
        <v>5</v>
      </c>
      <c r="S39" s="470" t="s">
        <v>5</v>
      </c>
      <c r="T39" s="628">
        <f>SUM(L39:S39)</f>
        <v>0</v>
      </c>
      <c r="U39" s="156"/>
      <c r="V39" s="624">
        <f>IF(T39&gt;0,SUM(T39)-SUM(W39:AE39),J39)</f>
        <v>0</v>
      </c>
      <c r="W39" s="644">
        <f>SUM('Balance sheet'!$F$11)</f>
        <v>0</v>
      </c>
      <c r="X39" s="458" t="s">
        <v>5</v>
      </c>
      <c r="Y39" s="170" t="s">
        <v>5</v>
      </c>
      <c r="Z39" s="170" t="s">
        <v>5</v>
      </c>
      <c r="AA39" s="170" t="s">
        <v>5</v>
      </c>
      <c r="AB39" s="169" t="s">
        <v>5</v>
      </c>
      <c r="AC39" s="620">
        <f>SUM(Q39)</f>
        <v>0</v>
      </c>
      <c r="AD39" s="170" t="s">
        <v>5</v>
      </c>
      <c r="AE39" s="169" t="s">
        <v>5</v>
      </c>
      <c r="AG39" s="17" t="s">
        <v>0</v>
      </c>
    </row>
    <row r="40" spans="1:33" x14ac:dyDescent="0.25">
      <c r="A40" s="548" t="s">
        <v>526</v>
      </c>
      <c r="B40" s="223" t="s">
        <v>242</v>
      </c>
      <c r="C40" s="628">
        <f t="shared" si="8"/>
        <v>0</v>
      </c>
      <c r="D40" s="149"/>
      <c r="E40" s="81"/>
      <c r="F40" s="81"/>
      <c r="G40" s="81"/>
      <c r="H40" s="58"/>
      <c r="I40" s="58"/>
      <c r="J40" s="636">
        <f>SUM('Balance sheet'!$F$8)</f>
        <v>0</v>
      </c>
      <c r="K40" s="64" t="s">
        <v>95</v>
      </c>
      <c r="L40" s="458" t="s">
        <v>5</v>
      </c>
      <c r="M40" s="169" t="s">
        <v>5</v>
      </c>
      <c r="N40" s="461" t="s">
        <v>5</v>
      </c>
      <c r="O40" s="461" t="s">
        <v>5</v>
      </c>
      <c r="P40" s="170" t="s">
        <v>5</v>
      </c>
      <c r="Q40" s="170" t="s">
        <v>5</v>
      </c>
      <c r="R40" s="170" t="s">
        <v>5</v>
      </c>
      <c r="S40" s="470" t="s">
        <v>5</v>
      </c>
      <c r="T40" s="628">
        <f t="shared" ref="T40:T43" si="9">SUM(L40:S40)</f>
        <v>0</v>
      </c>
      <c r="U40" s="156"/>
      <c r="V40" s="624">
        <f>IF(T40&gt;0,SUM(T40)-SUM(W40:AE40),J40)</f>
        <v>0</v>
      </c>
      <c r="W40" s="644">
        <f>SUM('Balance sheet'!$F$11)</f>
        <v>0</v>
      </c>
      <c r="X40" s="458" t="s">
        <v>5</v>
      </c>
      <c r="Y40" s="170" t="s">
        <v>5</v>
      </c>
      <c r="Z40" s="170" t="s">
        <v>5</v>
      </c>
      <c r="AA40" s="170" t="s">
        <v>5</v>
      </c>
      <c r="AB40" s="169" t="s">
        <v>5</v>
      </c>
      <c r="AC40" s="620">
        <f>SUM(Q40)</f>
        <v>0</v>
      </c>
      <c r="AD40" s="170" t="s">
        <v>5</v>
      </c>
      <c r="AE40" s="169" t="s">
        <v>5</v>
      </c>
      <c r="AG40" s="17" t="s">
        <v>0</v>
      </c>
    </row>
    <row r="41" spans="1:33" x14ac:dyDescent="0.25">
      <c r="B41" s="139"/>
      <c r="C41" s="664">
        <f t="shared" si="8"/>
        <v>0</v>
      </c>
      <c r="D41" s="628">
        <f>MAX(SUM(C40)+SUM(Y41)-SUM(Y40),0)</f>
        <v>0</v>
      </c>
      <c r="E41" s="644">
        <f>MAX(SUM(C40)+SUM(Z41)-SUM(Z40),0)</f>
        <v>0</v>
      </c>
      <c r="F41" s="644">
        <f>MAX(SUM(C40)+SUM(L40:M40)-SUM(L41:M41),0)</f>
        <v>0</v>
      </c>
      <c r="G41" s="644">
        <f>MAX(SUM(C40)+SUM(N40)-SUM(N41),0)</f>
        <v>0</v>
      </c>
      <c r="H41" s="636">
        <f>MAX(SUM(C40)+SUM(AA41:AB41)-SUM(AA40:AB40),0)</f>
        <v>0</v>
      </c>
      <c r="I41" s="58"/>
      <c r="J41" s="637">
        <f>SUM('Balance sheet'!$F$8)</f>
        <v>0</v>
      </c>
      <c r="K41" s="86" t="s">
        <v>96</v>
      </c>
      <c r="L41" s="459" t="s">
        <v>5</v>
      </c>
      <c r="M41" s="70" t="s">
        <v>5</v>
      </c>
      <c r="N41" s="340" t="s">
        <v>5</v>
      </c>
      <c r="O41" s="340" t="s">
        <v>5</v>
      </c>
      <c r="P41" s="69" t="s">
        <v>5</v>
      </c>
      <c r="Q41" s="69" t="s">
        <v>5</v>
      </c>
      <c r="R41" s="69" t="s">
        <v>5</v>
      </c>
      <c r="S41" s="470" t="s">
        <v>5</v>
      </c>
      <c r="T41" s="664">
        <f t="shared" si="9"/>
        <v>0</v>
      </c>
      <c r="U41" s="156"/>
      <c r="V41" s="659">
        <f>IF(T41&gt;0,SUM(T41)-SUM(W41:AE41),J41)</f>
        <v>0</v>
      </c>
      <c r="W41" s="645">
        <f>SUM('Balance sheet'!$F$11)</f>
        <v>0</v>
      </c>
      <c r="X41" s="459" t="s">
        <v>5</v>
      </c>
      <c r="Y41" s="69" t="s">
        <v>5</v>
      </c>
      <c r="Z41" s="69" t="s">
        <v>5</v>
      </c>
      <c r="AA41" s="69" t="s">
        <v>5</v>
      </c>
      <c r="AB41" s="70" t="s">
        <v>5</v>
      </c>
      <c r="AC41" s="626">
        <f>SUM(Q41)</f>
        <v>0</v>
      </c>
      <c r="AD41" s="69" t="s">
        <v>5</v>
      </c>
      <c r="AE41" s="70" t="s">
        <v>5</v>
      </c>
      <c r="AG41" s="17" t="s">
        <v>0</v>
      </c>
    </row>
    <row r="42" spans="1:33" x14ac:dyDescent="0.25">
      <c r="A42" s="548" t="s">
        <v>527</v>
      </c>
      <c r="B42" s="134" t="s">
        <v>35</v>
      </c>
      <c r="C42" s="627">
        <f t="shared" si="8"/>
        <v>0</v>
      </c>
      <c r="D42" s="77"/>
      <c r="E42" s="78"/>
      <c r="F42" s="78"/>
      <c r="G42" s="78"/>
      <c r="H42" s="49"/>
      <c r="I42" s="58"/>
      <c r="J42" s="639">
        <f>SUM('Balance sheet'!$F$8)</f>
        <v>0</v>
      </c>
      <c r="K42" s="63" t="s">
        <v>95</v>
      </c>
      <c r="L42" s="460" t="s">
        <v>5</v>
      </c>
      <c r="M42" s="67" t="s">
        <v>5</v>
      </c>
      <c r="N42" s="462" t="s">
        <v>5</v>
      </c>
      <c r="O42" s="462" t="s">
        <v>5</v>
      </c>
      <c r="P42" s="66" t="s">
        <v>5</v>
      </c>
      <c r="Q42" s="66" t="s">
        <v>5</v>
      </c>
      <c r="R42" s="66" t="s">
        <v>5</v>
      </c>
      <c r="S42" s="462" t="s">
        <v>5</v>
      </c>
      <c r="T42" s="627">
        <f>SUM(L42:S42)</f>
        <v>0</v>
      </c>
      <c r="U42" s="156"/>
      <c r="V42" s="623">
        <f t="shared" ref="V42:V43" si="10">IF(T42&gt;0,SUM(T42)-SUM(W42:AE42),J42)</f>
        <v>0</v>
      </c>
      <c r="W42" s="643">
        <f>SUM('Balance sheet'!$F$11)</f>
        <v>0</v>
      </c>
      <c r="X42" s="458" t="s">
        <v>5</v>
      </c>
      <c r="Y42" s="170" t="s">
        <v>5</v>
      </c>
      <c r="Z42" s="170" t="s">
        <v>5</v>
      </c>
      <c r="AA42" s="170" t="s">
        <v>5</v>
      </c>
      <c r="AB42" s="169" t="s">
        <v>5</v>
      </c>
      <c r="AC42" s="620">
        <f t="shared" ref="AC42:AC43" si="11">SUM(Q42)</f>
        <v>0</v>
      </c>
      <c r="AD42" s="66" t="s">
        <v>5</v>
      </c>
      <c r="AE42" s="67" t="s">
        <v>5</v>
      </c>
      <c r="AG42" s="17" t="s">
        <v>0</v>
      </c>
    </row>
    <row r="43" spans="1:33" x14ac:dyDescent="0.25">
      <c r="B43" s="139"/>
      <c r="C43" s="664">
        <f t="shared" si="8"/>
        <v>0</v>
      </c>
      <c r="D43" s="628">
        <f>MAX(SUM(C42)+SUM(Y43)-SUM(Y42),0)</f>
        <v>0</v>
      </c>
      <c r="E43" s="644">
        <f>MAX(SUM(C42)+SUM(Z43)-SUM(Z42),0)</f>
        <v>0</v>
      </c>
      <c r="F43" s="644">
        <f>MAX(SUM(C42)+SUM(L42:M42)-SUM(L43:M43),0)</f>
        <v>0</v>
      </c>
      <c r="G43" s="644">
        <f>MAX(SUM(C42)+SUM(N42)-SUM(N43),0)</f>
        <v>0</v>
      </c>
      <c r="H43" s="636">
        <f>MAX(SUM(C42)+SUM(AA43:AB43)-SUM(AA42:AB42),0)</f>
        <v>0</v>
      </c>
      <c r="I43" s="58"/>
      <c r="J43" s="637">
        <f>SUM('Balance sheet'!$F$8)</f>
        <v>0</v>
      </c>
      <c r="K43" s="86" t="s">
        <v>96</v>
      </c>
      <c r="L43" s="459" t="s">
        <v>5</v>
      </c>
      <c r="M43" s="70" t="s">
        <v>5</v>
      </c>
      <c r="N43" s="340" t="s">
        <v>5</v>
      </c>
      <c r="O43" s="340" t="s">
        <v>5</v>
      </c>
      <c r="P43" s="69" t="s">
        <v>5</v>
      </c>
      <c r="Q43" s="69" t="s">
        <v>5</v>
      </c>
      <c r="R43" s="69" t="s">
        <v>5</v>
      </c>
      <c r="S43" s="340" t="s">
        <v>5</v>
      </c>
      <c r="T43" s="664">
        <f t="shared" si="9"/>
        <v>0</v>
      </c>
      <c r="U43" s="156"/>
      <c r="V43" s="659">
        <f t="shared" si="10"/>
        <v>0</v>
      </c>
      <c r="W43" s="645">
        <f>SUM('Balance sheet'!$F$11)</f>
        <v>0</v>
      </c>
      <c r="X43" s="459" t="s">
        <v>5</v>
      </c>
      <c r="Y43" s="69" t="s">
        <v>5</v>
      </c>
      <c r="Z43" s="69" t="s">
        <v>5</v>
      </c>
      <c r="AA43" s="170" t="s">
        <v>5</v>
      </c>
      <c r="AB43" s="169" t="s">
        <v>5</v>
      </c>
      <c r="AC43" s="626">
        <f t="shared" si="11"/>
        <v>0</v>
      </c>
      <c r="AD43" s="69" t="s">
        <v>5</v>
      </c>
      <c r="AE43" s="70" t="s">
        <v>5</v>
      </c>
      <c r="AG43" s="17" t="s">
        <v>0</v>
      </c>
    </row>
    <row r="44" spans="1:33" x14ac:dyDescent="0.25">
      <c r="A44" s="548" t="s">
        <v>528</v>
      </c>
      <c r="B44" s="134" t="s">
        <v>36</v>
      </c>
      <c r="C44" s="627">
        <f>SUM(C46)+SUM(C48)+SUM(C50)</f>
        <v>0</v>
      </c>
      <c r="D44" s="77"/>
      <c r="E44" s="78"/>
      <c r="F44" s="78"/>
      <c r="G44" s="78"/>
      <c r="H44" s="49"/>
      <c r="I44" s="58"/>
      <c r="J44" s="49"/>
      <c r="K44" s="63" t="s">
        <v>95</v>
      </c>
      <c r="L44" s="77"/>
      <c r="M44" s="49"/>
      <c r="N44" s="78"/>
      <c r="O44" s="78"/>
      <c r="P44" s="78"/>
      <c r="Q44" s="78"/>
      <c r="R44" s="78"/>
      <c r="S44" s="78"/>
      <c r="T44" s="77"/>
      <c r="U44" s="156"/>
      <c r="V44" s="49"/>
      <c r="W44" s="26"/>
      <c r="X44" s="77"/>
      <c r="Y44" s="78"/>
      <c r="Z44" s="78"/>
      <c r="AA44" s="78"/>
      <c r="AB44" s="78"/>
      <c r="AC44" s="156"/>
      <c r="AD44" s="78"/>
      <c r="AE44" s="49"/>
      <c r="AG44" s="17" t="s">
        <v>0</v>
      </c>
    </row>
    <row r="45" spans="1:33" x14ac:dyDescent="0.25">
      <c r="B45" s="137"/>
      <c r="C45" s="664">
        <f>SUM(C47)+SUM(C49)+SUM(C51)</f>
        <v>0</v>
      </c>
      <c r="D45" s="664">
        <f t="shared" ref="D45:H45" si="12">SUM(D47)+SUM(D49)+SUM(D51)</f>
        <v>0</v>
      </c>
      <c r="E45" s="645">
        <f t="shared" si="12"/>
        <v>0</v>
      </c>
      <c r="F45" s="645">
        <f t="shared" si="12"/>
        <v>0</v>
      </c>
      <c r="G45" s="645">
        <f t="shared" si="12"/>
        <v>0</v>
      </c>
      <c r="H45" s="637">
        <f t="shared" si="12"/>
        <v>0</v>
      </c>
      <c r="I45" s="58"/>
      <c r="J45" s="50"/>
      <c r="K45" s="64" t="s">
        <v>96</v>
      </c>
      <c r="L45" s="149"/>
      <c r="M45" s="58"/>
      <c r="N45" s="81"/>
      <c r="O45" s="81"/>
      <c r="P45" s="81"/>
      <c r="Q45" s="81"/>
      <c r="R45" s="81"/>
      <c r="S45" s="81"/>
      <c r="T45" s="149"/>
      <c r="U45" s="156"/>
      <c r="V45" s="58"/>
      <c r="W45" s="31"/>
      <c r="X45" s="149"/>
      <c r="Y45" s="81"/>
      <c r="Z45" s="81"/>
      <c r="AA45" s="81"/>
      <c r="AB45" s="81"/>
      <c r="AC45" s="156"/>
      <c r="AD45" s="81"/>
      <c r="AE45" s="58"/>
      <c r="AG45" s="17" t="s">
        <v>0</v>
      </c>
    </row>
    <row r="46" spans="1:33" x14ac:dyDescent="0.25">
      <c r="A46" s="548" t="s">
        <v>529</v>
      </c>
      <c r="B46" s="137" t="s">
        <v>46</v>
      </c>
      <c r="C46" s="628">
        <f>MAX(SUM(J46)-SUM(V46),0)</f>
        <v>0</v>
      </c>
      <c r="D46" s="149"/>
      <c r="E46" s="81"/>
      <c r="F46" s="81"/>
      <c r="G46" s="81"/>
      <c r="H46" s="58"/>
      <c r="I46" s="58"/>
      <c r="J46" s="644">
        <f>SUM('Balance sheet'!$F$8)</f>
        <v>0</v>
      </c>
      <c r="K46" s="63" t="s">
        <v>95</v>
      </c>
      <c r="L46" s="460" t="s">
        <v>5</v>
      </c>
      <c r="M46" s="67" t="s">
        <v>5</v>
      </c>
      <c r="N46" s="462" t="s">
        <v>5</v>
      </c>
      <c r="O46" s="462" t="s">
        <v>5</v>
      </c>
      <c r="P46" s="66" t="s">
        <v>5</v>
      </c>
      <c r="Q46" s="66" t="s">
        <v>5</v>
      </c>
      <c r="R46" s="66" t="s">
        <v>5</v>
      </c>
      <c r="S46" s="462" t="s">
        <v>5</v>
      </c>
      <c r="T46" s="627">
        <f>SUM(L46:S46)</f>
        <v>0</v>
      </c>
      <c r="U46" s="156"/>
      <c r="V46" s="623">
        <f>IF(T46&gt;0,SUM(T46)-SUM(W46:AE46),J46)</f>
        <v>0</v>
      </c>
      <c r="W46" s="652">
        <f>SUM('Balance sheet'!$F$11)</f>
        <v>0</v>
      </c>
      <c r="X46" s="467" t="s">
        <v>5</v>
      </c>
      <c r="Y46" s="66" t="s">
        <v>5</v>
      </c>
      <c r="Z46" s="66" t="s">
        <v>5</v>
      </c>
      <c r="AA46" s="66" t="s">
        <v>5</v>
      </c>
      <c r="AB46" s="67" t="s">
        <v>5</v>
      </c>
      <c r="AC46" s="590">
        <f>SUM(Q46)</f>
        <v>0</v>
      </c>
      <c r="AD46" s="66" t="s">
        <v>5</v>
      </c>
      <c r="AE46" s="67" t="s">
        <v>5</v>
      </c>
      <c r="AG46" s="17" t="s">
        <v>0</v>
      </c>
    </row>
    <row r="47" spans="1:33" x14ac:dyDescent="0.25">
      <c r="B47" s="137"/>
      <c r="C47" s="628">
        <f>MAX(SUM(J47)-SUM(V47),0)</f>
        <v>0</v>
      </c>
      <c r="D47" s="628">
        <f>MAX(SUM(C46)+SUM(Y47)-SUM(Y46),0)</f>
        <v>0</v>
      </c>
      <c r="E47" s="644">
        <f>MAX(SUM(C46)+SUM(Z47)-SUM(Z46),0)</f>
        <v>0</v>
      </c>
      <c r="F47" s="644">
        <f>MAX(SUM(C46)+SUM(L46:M46)-SUM(L47:M47),0)</f>
        <v>0</v>
      </c>
      <c r="G47" s="644">
        <f>MAX(SUM(C46)+SUM(N46)-SUM(N47),0)</f>
        <v>0</v>
      </c>
      <c r="H47" s="636">
        <f>MAX(SUM(C46)+SUM(AA47:AB47)-SUM(AA46:AB46),0)</f>
        <v>0</v>
      </c>
      <c r="I47" s="58"/>
      <c r="J47" s="644">
        <f>SUM('Balance sheet'!$F$8)</f>
        <v>0</v>
      </c>
      <c r="K47" s="64" t="s">
        <v>96</v>
      </c>
      <c r="L47" s="458" t="s">
        <v>5</v>
      </c>
      <c r="M47" s="169" t="s">
        <v>5</v>
      </c>
      <c r="N47" s="461" t="s">
        <v>5</v>
      </c>
      <c r="O47" s="461" t="s">
        <v>5</v>
      </c>
      <c r="P47" s="170" t="s">
        <v>5</v>
      </c>
      <c r="Q47" s="170" t="s">
        <v>5</v>
      </c>
      <c r="R47" s="170" t="s">
        <v>5</v>
      </c>
      <c r="S47" s="461" t="s">
        <v>5</v>
      </c>
      <c r="T47" s="628">
        <f>SUM(L47:S47)</f>
        <v>0</v>
      </c>
      <c r="U47" s="156"/>
      <c r="V47" s="624">
        <f>IF(T47&gt;0,SUM(T47)-SUM(W47:AE47),J47)</f>
        <v>0</v>
      </c>
      <c r="W47" s="644">
        <f>SUM('Balance sheet'!$F$11)</f>
        <v>0</v>
      </c>
      <c r="X47" s="458" t="s">
        <v>5</v>
      </c>
      <c r="Y47" s="170" t="s">
        <v>5</v>
      </c>
      <c r="Z47" s="170" t="s">
        <v>5</v>
      </c>
      <c r="AA47" s="170" t="s">
        <v>5</v>
      </c>
      <c r="AB47" s="169" t="s">
        <v>5</v>
      </c>
      <c r="AC47" s="620">
        <f>SUM(Q47)</f>
        <v>0</v>
      </c>
      <c r="AD47" s="170" t="s">
        <v>5</v>
      </c>
      <c r="AE47" s="169" t="s">
        <v>5</v>
      </c>
      <c r="AG47" s="17" t="s">
        <v>0</v>
      </c>
    </row>
    <row r="48" spans="1:33" x14ac:dyDescent="0.25">
      <c r="A48" s="548" t="s">
        <v>530</v>
      </c>
      <c r="B48" s="137" t="s">
        <v>49</v>
      </c>
      <c r="C48" s="628">
        <f>MAX(SUM(J48)-SUM(V48),0)</f>
        <v>0</v>
      </c>
      <c r="D48" s="149"/>
      <c r="E48" s="81"/>
      <c r="F48" s="81"/>
      <c r="G48" s="81"/>
      <c r="H48" s="58"/>
      <c r="I48" s="58"/>
      <c r="J48" s="644">
        <f>SUM('Balance sheet'!$F$8)</f>
        <v>0</v>
      </c>
      <c r="K48" s="64" t="s">
        <v>95</v>
      </c>
      <c r="L48" s="458" t="s">
        <v>5</v>
      </c>
      <c r="M48" s="169" t="s">
        <v>5</v>
      </c>
      <c r="N48" s="170" t="s">
        <v>5</v>
      </c>
      <c r="O48" s="461" t="s">
        <v>5</v>
      </c>
      <c r="P48" s="170" t="s">
        <v>5</v>
      </c>
      <c r="Q48" s="170" t="s">
        <v>5</v>
      </c>
      <c r="R48" s="170" t="s">
        <v>5</v>
      </c>
      <c r="S48" s="461" t="s">
        <v>5</v>
      </c>
      <c r="T48" s="628">
        <f>SUM(L48:S48)</f>
        <v>0</v>
      </c>
      <c r="U48" s="156"/>
      <c r="V48" s="636">
        <f>IF(T48&gt;0,SUM(T48)-SUM(W48:AE48),J48)</f>
        <v>0</v>
      </c>
      <c r="W48" s="644">
        <f>SUM('Balance sheet'!$F$11)</f>
        <v>0</v>
      </c>
      <c r="X48" s="458" t="s">
        <v>5</v>
      </c>
      <c r="Y48" s="170" t="s">
        <v>5</v>
      </c>
      <c r="Z48" s="170" t="s">
        <v>5</v>
      </c>
      <c r="AA48" s="170" t="s">
        <v>5</v>
      </c>
      <c r="AB48" s="169" t="s">
        <v>5</v>
      </c>
      <c r="AC48" s="620">
        <f>SUM(Q48)</f>
        <v>0</v>
      </c>
      <c r="AD48" s="170" t="s">
        <v>5</v>
      </c>
      <c r="AE48" s="169" t="s">
        <v>5</v>
      </c>
      <c r="AG48" s="17" t="s">
        <v>0</v>
      </c>
    </row>
    <row r="49" spans="1:33" x14ac:dyDescent="0.25">
      <c r="B49" s="137"/>
      <c r="C49" s="628">
        <f>MAX(SUM(J49)-SUM(V49),0)</f>
        <v>0</v>
      </c>
      <c r="D49" s="628">
        <f>MAX(SUM(C48)+SUM(Y49)-SUM(Y48),0)</f>
        <v>0</v>
      </c>
      <c r="E49" s="644">
        <f>MAX(SUM(C48)+SUM(Z49)-SUM(Z48),0)</f>
        <v>0</v>
      </c>
      <c r="F49" s="644">
        <f>MAX(SUM(C48)+SUM(L48:M48)-SUM(L49:M49),0)</f>
        <v>0</v>
      </c>
      <c r="G49" s="644">
        <f>MAX(SUM(C48)+SUM(N48)-SUM(N49),0)</f>
        <v>0</v>
      </c>
      <c r="H49" s="636">
        <f>MAX(SUM(C48)+SUM(AA49:AB49)-SUM(AA48:AB48),0)</f>
        <v>0</v>
      </c>
      <c r="I49" s="58"/>
      <c r="J49" s="644">
        <f>SUM('Balance sheet'!$F$8)</f>
        <v>0</v>
      </c>
      <c r="K49" s="86" t="s">
        <v>96</v>
      </c>
      <c r="L49" s="459" t="s">
        <v>5</v>
      </c>
      <c r="M49" s="70" t="s">
        <v>5</v>
      </c>
      <c r="N49" s="69" t="s">
        <v>5</v>
      </c>
      <c r="O49" s="340" t="s">
        <v>5</v>
      </c>
      <c r="P49" s="69" t="s">
        <v>5</v>
      </c>
      <c r="Q49" s="69" t="s">
        <v>5</v>
      </c>
      <c r="R49" s="69" t="s">
        <v>5</v>
      </c>
      <c r="S49" s="340" t="s">
        <v>5</v>
      </c>
      <c r="T49" s="664">
        <f>SUM(L49:S49)</f>
        <v>0</v>
      </c>
      <c r="U49" s="156"/>
      <c r="V49" s="637">
        <f>IF(T49&gt;0,SUM(T49)-SUM(W49:AE49),J49)</f>
        <v>0</v>
      </c>
      <c r="W49" s="645">
        <f>SUM('Balance sheet'!$F$11)</f>
        <v>0</v>
      </c>
      <c r="X49" s="459" t="s">
        <v>5</v>
      </c>
      <c r="Y49" s="69" t="s">
        <v>5</v>
      </c>
      <c r="Z49" s="69" t="s">
        <v>5</v>
      </c>
      <c r="AA49" s="69" t="s">
        <v>5</v>
      </c>
      <c r="AB49" s="70" t="s">
        <v>5</v>
      </c>
      <c r="AC49" s="626">
        <f>SUM(Q49)</f>
        <v>0</v>
      </c>
      <c r="AD49" s="69" t="s">
        <v>5</v>
      </c>
      <c r="AE49" s="70" t="s">
        <v>5</v>
      </c>
      <c r="AG49" s="17" t="s">
        <v>0</v>
      </c>
    </row>
    <row r="50" spans="1:33" x14ac:dyDescent="0.25">
      <c r="A50" s="548" t="s">
        <v>531</v>
      </c>
      <c r="B50" s="137" t="s">
        <v>47</v>
      </c>
      <c r="C50" s="627">
        <f>IF($C$52="Up",SUM(C53),SUM(C55))</f>
        <v>0</v>
      </c>
      <c r="D50" s="77"/>
      <c r="E50" s="78"/>
      <c r="F50" s="78"/>
      <c r="G50" s="78"/>
      <c r="H50" s="49"/>
      <c r="I50" s="58"/>
      <c r="J50" s="78"/>
      <c r="K50" s="63" t="s">
        <v>95</v>
      </c>
      <c r="L50" s="77"/>
      <c r="M50" s="49"/>
      <c r="N50" s="81"/>
      <c r="O50" s="81"/>
      <c r="P50" s="81"/>
      <c r="Q50" s="81"/>
      <c r="R50" s="81"/>
      <c r="S50" s="81"/>
      <c r="T50" s="77"/>
      <c r="U50" s="156"/>
      <c r="V50" s="49"/>
      <c r="W50" s="33"/>
      <c r="X50" s="81"/>
      <c r="Y50" s="81"/>
      <c r="Z50" s="81"/>
      <c r="AA50" s="81"/>
      <c r="AB50" s="81"/>
      <c r="AC50" s="82"/>
      <c r="AD50" s="81"/>
      <c r="AE50" s="58"/>
      <c r="AG50" s="17" t="s">
        <v>0</v>
      </c>
    </row>
    <row r="51" spans="1:33" x14ac:dyDescent="0.25">
      <c r="B51" s="137"/>
      <c r="C51" s="664">
        <f>IF($C$52="Up",SUM(C54),SUM(C56))</f>
        <v>0</v>
      </c>
      <c r="D51" s="628">
        <f t="shared" ref="D51:H51" si="13">IF($C$52="Up",SUM(D54),SUM(D56))</f>
        <v>0</v>
      </c>
      <c r="E51" s="644">
        <f t="shared" si="13"/>
        <v>0</v>
      </c>
      <c r="F51" s="644">
        <f t="shared" si="13"/>
        <v>0</v>
      </c>
      <c r="G51" s="644">
        <f t="shared" si="13"/>
        <v>0</v>
      </c>
      <c r="H51" s="636">
        <f t="shared" si="13"/>
        <v>0</v>
      </c>
      <c r="I51" s="58"/>
      <c r="J51" s="58"/>
      <c r="K51" s="64" t="s">
        <v>96</v>
      </c>
      <c r="L51" s="149"/>
      <c r="M51" s="58"/>
      <c r="N51" s="81"/>
      <c r="O51" s="81"/>
      <c r="P51" s="81"/>
      <c r="Q51" s="81"/>
      <c r="R51" s="81"/>
      <c r="S51" s="81"/>
      <c r="T51" s="149"/>
      <c r="U51" s="156"/>
      <c r="V51" s="58"/>
      <c r="W51" s="130"/>
      <c r="X51" s="81"/>
      <c r="Y51" s="81"/>
      <c r="Z51" s="81"/>
      <c r="AA51" s="81"/>
      <c r="AB51" s="81"/>
      <c r="AC51" s="156"/>
      <c r="AD51" s="81"/>
      <c r="AE51" s="58"/>
      <c r="AG51" s="17" t="s">
        <v>0</v>
      </c>
    </row>
    <row r="52" spans="1:33" x14ac:dyDescent="0.25">
      <c r="B52" s="137" t="s">
        <v>48</v>
      </c>
      <c r="C52" s="628" t="str">
        <f>IF('Overview SRA'!G18="Yes",IF(SUM(C53)&gt;SUM(C55),"Up","Down"),IF(SUM(C54)&gt;SUM(C56),"Up","Down"))</f>
        <v>Down</v>
      </c>
      <c r="D52" s="503"/>
      <c r="E52" s="501"/>
      <c r="F52" s="501"/>
      <c r="G52" s="501"/>
      <c r="H52" s="171"/>
      <c r="I52" s="58"/>
      <c r="J52" s="171"/>
      <c r="K52" s="140"/>
      <c r="L52" s="141"/>
      <c r="M52" s="142"/>
      <c r="N52" s="143"/>
      <c r="O52" s="143"/>
      <c r="P52" s="143"/>
      <c r="Q52" s="143"/>
      <c r="R52" s="143"/>
      <c r="S52" s="143"/>
      <c r="T52" s="141"/>
      <c r="U52" s="156"/>
      <c r="V52" s="142"/>
      <c r="W52" s="143"/>
      <c r="X52" s="141"/>
      <c r="Y52" s="143"/>
      <c r="Z52" s="143"/>
      <c r="AA52" s="143"/>
      <c r="AB52" s="142"/>
      <c r="AC52" s="140"/>
      <c r="AD52" s="143"/>
      <c r="AE52" s="142"/>
      <c r="AG52" s="17" t="s">
        <v>0</v>
      </c>
    </row>
    <row r="53" spans="1:33" x14ac:dyDescent="0.25">
      <c r="B53" s="147" t="s">
        <v>122</v>
      </c>
      <c r="C53" s="627">
        <f t="shared" ref="C53:C58" si="14">MAX(SUM(J53)-SUM(V53),0)</f>
        <v>0</v>
      </c>
      <c r="D53" s="149"/>
      <c r="E53" s="81"/>
      <c r="F53" s="81"/>
      <c r="G53" s="81"/>
      <c r="H53" s="58"/>
      <c r="I53" s="58"/>
      <c r="J53" s="636">
        <f>SUM('Balance sheet'!$F$8)</f>
        <v>0</v>
      </c>
      <c r="K53" s="64" t="s">
        <v>95</v>
      </c>
      <c r="L53" s="458" t="s">
        <v>5</v>
      </c>
      <c r="M53" s="169" t="s">
        <v>5</v>
      </c>
      <c r="N53" s="170" t="s">
        <v>5</v>
      </c>
      <c r="O53" s="461" t="s">
        <v>5</v>
      </c>
      <c r="P53" s="170" t="s">
        <v>5</v>
      </c>
      <c r="Q53" s="170" t="s">
        <v>5</v>
      </c>
      <c r="R53" s="170" t="s">
        <v>5</v>
      </c>
      <c r="S53" s="461" t="s">
        <v>5</v>
      </c>
      <c r="T53" s="628">
        <f t="shared" ref="T53:T58" si="15">SUM(L53:S53)</f>
        <v>0</v>
      </c>
      <c r="U53" s="156"/>
      <c r="V53" s="636">
        <f t="shared" ref="V53:V56" si="16">IF(T53&gt;0,SUM(T53)-SUM(W53:AE53),J53)</f>
        <v>0</v>
      </c>
      <c r="W53" s="644">
        <f>SUM('Balance sheet'!$F$11)</f>
        <v>0</v>
      </c>
      <c r="X53" s="460" t="s">
        <v>5</v>
      </c>
      <c r="Y53" s="66" t="s">
        <v>5</v>
      </c>
      <c r="Z53" s="66" t="s">
        <v>5</v>
      </c>
      <c r="AA53" s="66" t="s">
        <v>5</v>
      </c>
      <c r="AB53" s="67" t="s">
        <v>5</v>
      </c>
      <c r="AC53" s="620">
        <f t="shared" ref="AC53:AC56" si="17">SUM(Q53)</f>
        <v>0</v>
      </c>
      <c r="AD53" s="170" t="s">
        <v>5</v>
      </c>
      <c r="AE53" s="169" t="s">
        <v>5</v>
      </c>
      <c r="AG53" s="17" t="s">
        <v>0</v>
      </c>
    </row>
    <row r="54" spans="1:33" x14ac:dyDescent="0.25">
      <c r="B54" s="148" t="s">
        <v>120</v>
      </c>
      <c r="C54" s="628">
        <f t="shared" si="14"/>
        <v>0</v>
      </c>
      <c r="D54" s="628">
        <f>MAX(SUM(C53)+SUM(Y54)-SUM(Y53),0)</f>
        <v>0</v>
      </c>
      <c r="E54" s="644">
        <f>MAX(SUM(C53)+SUM(Z54)-SUM(Z53),0)</f>
        <v>0</v>
      </c>
      <c r="F54" s="644">
        <f>MAX(SUM(C53)+SUM(L53:M53)-SUM(L54:M54),0)</f>
        <v>0</v>
      </c>
      <c r="G54" s="644">
        <f>MAX(SUM(C53)+SUM(N53)-SUM(N54),0)</f>
        <v>0</v>
      </c>
      <c r="H54" s="636">
        <f>MAX(SUM(C53)+SUM(AA54:AB54)-SUM(AA53:AB53),0)</f>
        <v>0</v>
      </c>
      <c r="I54" s="58"/>
      <c r="J54" s="636">
        <f>SUM('Balance sheet'!$F$8)</f>
        <v>0</v>
      </c>
      <c r="K54" s="64" t="s">
        <v>96</v>
      </c>
      <c r="L54" s="458" t="s">
        <v>5</v>
      </c>
      <c r="M54" s="169" t="s">
        <v>5</v>
      </c>
      <c r="N54" s="170" t="s">
        <v>5</v>
      </c>
      <c r="O54" s="461" t="s">
        <v>5</v>
      </c>
      <c r="P54" s="170" t="s">
        <v>5</v>
      </c>
      <c r="Q54" s="170" t="s">
        <v>5</v>
      </c>
      <c r="R54" s="170" t="s">
        <v>5</v>
      </c>
      <c r="S54" s="461" t="s">
        <v>5</v>
      </c>
      <c r="T54" s="628">
        <f t="shared" si="15"/>
        <v>0</v>
      </c>
      <c r="U54" s="156"/>
      <c r="V54" s="636">
        <f t="shared" si="16"/>
        <v>0</v>
      </c>
      <c r="W54" s="644">
        <f>SUM('Balance sheet'!$F$11)</f>
        <v>0</v>
      </c>
      <c r="X54" s="458" t="s">
        <v>5</v>
      </c>
      <c r="Y54" s="170" t="s">
        <v>5</v>
      </c>
      <c r="Z54" s="170" t="s">
        <v>5</v>
      </c>
      <c r="AA54" s="170" t="s">
        <v>5</v>
      </c>
      <c r="AB54" s="169" t="s">
        <v>5</v>
      </c>
      <c r="AC54" s="620">
        <f t="shared" si="17"/>
        <v>0</v>
      </c>
      <c r="AD54" s="170" t="s">
        <v>5</v>
      </c>
      <c r="AE54" s="169" t="s">
        <v>5</v>
      </c>
      <c r="AG54" s="17" t="s">
        <v>0</v>
      </c>
    </row>
    <row r="55" spans="1:33" x14ac:dyDescent="0.25">
      <c r="B55" s="147" t="s">
        <v>121</v>
      </c>
      <c r="C55" s="628">
        <f t="shared" si="14"/>
        <v>0</v>
      </c>
      <c r="D55" s="149"/>
      <c r="E55" s="81"/>
      <c r="F55" s="81"/>
      <c r="G55" s="81"/>
      <c r="H55" s="58"/>
      <c r="I55" s="58"/>
      <c r="J55" s="636">
        <f>SUM('Balance sheet'!$F$8)</f>
        <v>0</v>
      </c>
      <c r="K55" s="64" t="s">
        <v>95</v>
      </c>
      <c r="L55" s="458" t="s">
        <v>5</v>
      </c>
      <c r="M55" s="169" t="s">
        <v>5</v>
      </c>
      <c r="N55" s="170" t="s">
        <v>5</v>
      </c>
      <c r="O55" s="461" t="s">
        <v>5</v>
      </c>
      <c r="P55" s="170" t="s">
        <v>5</v>
      </c>
      <c r="Q55" s="170" t="s">
        <v>5</v>
      </c>
      <c r="R55" s="170" t="s">
        <v>5</v>
      </c>
      <c r="S55" s="461" t="s">
        <v>5</v>
      </c>
      <c r="T55" s="628">
        <f t="shared" si="15"/>
        <v>0</v>
      </c>
      <c r="U55" s="156"/>
      <c r="V55" s="636">
        <f t="shared" si="16"/>
        <v>0</v>
      </c>
      <c r="W55" s="644">
        <f>SUM('Balance sheet'!$F$11)</f>
        <v>0</v>
      </c>
      <c r="X55" s="458" t="s">
        <v>5</v>
      </c>
      <c r="Y55" s="170" t="s">
        <v>5</v>
      </c>
      <c r="Z55" s="170" t="s">
        <v>5</v>
      </c>
      <c r="AA55" s="170" t="s">
        <v>5</v>
      </c>
      <c r="AB55" s="169" t="s">
        <v>5</v>
      </c>
      <c r="AC55" s="620">
        <f t="shared" si="17"/>
        <v>0</v>
      </c>
      <c r="AD55" s="170" t="s">
        <v>5</v>
      </c>
      <c r="AE55" s="169" t="s">
        <v>5</v>
      </c>
      <c r="AG55" s="17" t="s">
        <v>0</v>
      </c>
    </row>
    <row r="56" spans="1:33" x14ac:dyDescent="0.25">
      <c r="B56" s="176" t="s">
        <v>120</v>
      </c>
      <c r="C56" s="664">
        <f t="shared" si="14"/>
        <v>0</v>
      </c>
      <c r="D56" s="664">
        <f>MAX(SUM(C55)+SUM(Y56)-SUM(Y55),0)</f>
        <v>0</v>
      </c>
      <c r="E56" s="645">
        <f>MAX(SUM(C55)+SUM(Z56)-SUM(Z55),0)</f>
        <v>0</v>
      </c>
      <c r="F56" s="645">
        <f>MAX(SUM(C55)+SUM(L55:M55)-SUM(L56:M56),0)</f>
        <v>0</v>
      </c>
      <c r="G56" s="645">
        <f>MAX(SUM(C55)+SUM(N55)-SUM(N56),0)</f>
        <v>0</v>
      </c>
      <c r="H56" s="637">
        <f>MAX(SUM(C55)+SUM(AA56:AB56)-SUM(AA55:AB55),0)</f>
        <v>0</v>
      </c>
      <c r="I56" s="58"/>
      <c r="J56" s="637">
        <f>SUM('Balance sheet'!$F$8)</f>
        <v>0</v>
      </c>
      <c r="K56" s="86" t="s">
        <v>96</v>
      </c>
      <c r="L56" s="459" t="s">
        <v>5</v>
      </c>
      <c r="M56" s="70" t="s">
        <v>5</v>
      </c>
      <c r="N56" s="69" t="s">
        <v>5</v>
      </c>
      <c r="O56" s="340" t="s">
        <v>5</v>
      </c>
      <c r="P56" s="69" t="s">
        <v>5</v>
      </c>
      <c r="Q56" s="69" t="s">
        <v>5</v>
      </c>
      <c r="R56" s="69" t="s">
        <v>5</v>
      </c>
      <c r="S56" s="340" t="s">
        <v>5</v>
      </c>
      <c r="T56" s="664">
        <f t="shared" si="15"/>
        <v>0</v>
      </c>
      <c r="U56" s="156"/>
      <c r="V56" s="637">
        <f t="shared" si="16"/>
        <v>0</v>
      </c>
      <c r="W56" s="645">
        <f>SUM('Balance sheet'!$F$11)</f>
        <v>0</v>
      </c>
      <c r="X56" s="459" t="s">
        <v>5</v>
      </c>
      <c r="Y56" s="69" t="s">
        <v>5</v>
      </c>
      <c r="Z56" s="69" t="s">
        <v>5</v>
      </c>
      <c r="AA56" s="69" t="s">
        <v>5</v>
      </c>
      <c r="AB56" s="70" t="s">
        <v>5</v>
      </c>
      <c r="AC56" s="626">
        <f t="shared" si="17"/>
        <v>0</v>
      </c>
      <c r="AD56" s="69" t="s">
        <v>5</v>
      </c>
      <c r="AE56" s="70" t="s">
        <v>5</v>
      </c>
      <c r="AG56" s="17" t="s">
        <v>0</v>
      </c>
    </row>
    <row r="57" spans="1:33" x14ac:dyDescent="0.25">
      <c r="A57" s="548" t="s">
        <v>582</v>
      </c>
      <c r="B57" s="134" t="s">
        <v>38</v>
      </c>
      <c r="C57" s="627">
        <f t="shared" si="14"/>
        <v>0</v>
      </c>
      <c r="D57" s="77"/>
      <c r="E57" s="78"/>
      <c r="F57" s="78"/>
      <c r="G57" s="78"/>
      <c r="H57" s="49"/>
      <c r="I57" s="58"/>
      <c r="J57" s="639">
        <f>SUM('Balance sheet'!$F$8)</f>
        <v>0</v>
      </c>
      <c r="K57" s="63" t="s">
        <v>95</v>
      </c>
      <c r="L57" s="460" t="s">
        <v>5</v>
      </c>
      <c r="M57" s="67" t="s">
        <v>5</v>
      </c>
      <c r="N57" s="66" t="s">
        <v>5</v>
      </c>
      <c r="O57" s="462" t="s">
        <v>5</v>
      </c>
      <c r="P57" s="66" t="s">
        <v>5</v>
      </c>
      <c r="Q57" s="66" t="s">
        <v>5</v>
      </c>
      <c r="R57" s="66" t="s">
        <v>5</v>
      </c>
      <c r="S57" s="462" t="s">
        <v>5</v>
      </c>
      <c r="T57" s="627">
        <f t="shared" si="15"/>
        <v>0</v>
      </c>
      <c r="U57" s="156"/>
      <c r="V57" s="639">
        <f>IF(T57&gt;0,SUM(T57)-SUM(W57:AE57),J57)</f>
        <v>0</v>
      </c>
      <c r="W57" s="643">
        <f>SUM('Balance sheet'!$F$11)</f>
        <v>0</v>
      </c>
      <c r="X57" s="460" t="s">
        <v>5</v>
      </c>
      <c r="Y57" s="66" t="s">
        <v>5</v>
      </c>
      <c r="Z57" s="66" t="s">
        <v>5</v>
      </c>
      <c r="AA57" s="66" t="s">
        <v>5</v>
      </c>
      <c r="AB57" s="67" t="s">
        <v>5</v>
      </c>
      <c r="AC57" s="620">
        <f>SUM(Q57)</f>
        <v>0</v>
      </c>
      <c r="AD57" s="66" t="s">
        <v>5</v>
      </c>
      <c r="AE57" s="67" t="s">
        <v>5</v>
      </c>
      <c r="AG57" s="17" t="s">
        <v>0</v>
      </c>
    </row>
    <row r="58" spans="1:33" x14ac:dyDescent="0.25">
      <c r="B58" s="139"/>
      <c r="C58" s="664">
        <f t="shared" si="14"/>
        <v>0</v>
      </c>
      <c r="D58" s="628">
        <f>MAX(SUM(C57)+SUM(Y58)-SUM(Y57),0)</f>
        <v>0</v>
      </c>
      <c r="E58" s="644">
        <f>MAX(SUM(C57)+SUM(Z58)-SUM(Z57),0)</f>
        <v>0</v>
      </c>
      <c r="F58" s="644">
        <f>MAX(SUM(C57)+SUM(L57:M57)-SUM(L58:M58),0)</f>
        <v>0</v>
      </c>
      <c r="G58" s="644">
        <f>MAX(SUM(C57)+SUM(N57)-SUM(N58),0)</f>
        <v>0</v>
      </c>
      <c r="H58" s="636">
        <f>MAX(SUM(C57)+SUM(AA58:AB58)-SUM(AA57:AB57),0)</f>
        <v>0</v>
      </c>
      <c r="I58" s="58"/>
      <c r="J58" s="636">
        <f>SUM('Balance sheet'!$F$8)</f>
        <v>0</v>
      </c>
      <c r="K58" s="86" t="s">
        <v>96</v>
      </c>
      <c r="L58" s="459" t="s">
        <v>5</v>
      </c>
      <c r="M58" s="70" t="s">
        <v>5</v>
      </c>
      <c r="N58" s="69" t="s">
        <v>5</v>
      </c>
      <c r="O58" s="340" t="s">
        <v>5</v>
      </c>
      <c r="P58" s="69" t="s">
        <v>5</v>
      </c>
      <c r="Q58" s="69" t="s">
        <v>5</v>
      </c>
      <c r="R58" s="69" t="s">
        <v>5</v>
      </c>
      <c r="S58" s="340" t="s">
        <v>5</v>
      </c>
      <c r="T58" s="664">
        <f t="shared" si="15"/>
        <v>0</v>
      </c>
      <c r="U58" s="156"/>
      <c r="V58" s="637">
        <f>IF(T58&gt;0,SUM(T58)-SUM(W58:AE58),J58)</f>
        <v>0</v>
      </c>
      <c r="W58" s="645">
        <f>SUM('Balance sheet'!$F$11)</f>
        <v>0</v>
      </c>
      <c r="X58" s="459" t="s">
        <v>5</v>
      </c>
      <c r="Y58" s="69" t="s">
        <v>5</v>
      </c>
      <c r="Z58" s="69" t="s">
        <v>5</v>
      </c>
      <c r="AA58" s="69" t="s">
        <v>5</v>
      </c>
      <c r="AB58" s="70" t="s">
        <v>5</v>
      </c>
      <c r="AC58" s="626">
        <f>SUM(Q58)</f>
        <v>0</v>
      </c>
      <c r="AD58" s="69" t="s">
        <v>5</v>
      </c>
      <c r="AE58" s="70" t="s">
        <v>5</v>
      </c>
      <c r="AG58" s="17" t="s">
        <v>0</v>
      </c>
    </row>
    <row r="59" spans="1:33" x14ac:dyDescent="0.25">
      <c r="A59" s="548" t="s">
        <v>532</v>
      </c>
      <c r="B59" s="146" t="s">
        <v>37</v>
      </c>
      <c r="C59" s="627">
        <f>IF($C$61="Up",SUM(C62),SUM(C64))</f>
        <v>0</v>
      </c>
      <c r="D59" s="77"/>
      <c r="E59" s="78"/>
      <c r="F59" s="78"/>
      <c r="G59" s="78"/>
      <c r="H59" s="49"/>
      <c r="I59" s="81"/>
      <c r="J59" s="82"/>
      <c r="K59" s="52" t="s">
        <v>95</v>
      </c>
      <c r="L59" s="149"/>
      <c r="M59" s="58"/>
      <c r="N59" s="183"/>
      <c r="O59" s="183"/>
      <c r="P59" s="183"/>
      <c r="Q59" s="183"/>
      <c r="R59" s="81"/>
      <c r="S59" s="81"/>
      <c r="T59" s="149"/>
      <c r="U59" s="156"/>
      <c r="V59" s="58"/>
      <c r="W59" s="81"/>
      <c r="X59" s="149"/>
      <c r="Y59" s="81"/>
      <c r="Z59" s="81"/>
      <c r="AA59" s="81"/>
      <c r="AB59" s="81"/>
      <c r="AC59" s="156"/>
      <c r="AD59" s="81"/>
      <c r="AE59" s="58"/>
      <c r="AG59" s="17" t="s">
        <v>0</v>
      </c>
    </row>
    <row r="60" spans="1:33" x14ac:dyDescent="0.25">
      <c r="B60" s="137"/>
      <c r="C60" s="664">
        <f>IF($C$61="Up",SUM(C63),SUM(C65))</f>
        <v>0</v>
      </c>
      <c r="D60" s="628">
        <f t="shared" ref="D60:H60" si="18">IF($C$61="Up",SUM(D63),SUM(D65))</f>
        <v>0</v>
      </c>
      <c r="E60" s="644">
        <f t="shared" si="18"/>
        <v>0</v>
      </c>
      <c r="F60" s="644">
        <f t="shared" si="18"/>
        <v>0</v>
      </c>
      <c r="G60" s="644">
        <f t="shared" si="18"/>
        <v>0</v>
      </c>
      <c r="H60" s="636">
        <f t="shared" si="18"/>
        <v>0</v>
      </c>
      <c r="I60" s="81"/>
      <c r="J60" s="156"/>
      <c r="K60" s="52" t="s">
        <v>96</v>
      </c>
      <c r="L60" s="149"/>
      <c r="M60" s="58"/>
      <c r="N60" s="183"/>
      <c r="O60" s="183"/>
      <c r="P60" s="183"/>
      <c r="Q60" s="183"/>
      <c r="R60" s="81"/>
      <c r="S60" s="81"/>
      <c r="T60" s="149"/>
      <c r="U60" s="156"/>
      <c r="V60" s="58"/>
      <c r="W60" s="81"/>
      <c r="X60" s="149"/>
      <c r="Y60" s="81"/>
      <c r="Z60" s="81"/>
      <c r="AA60" s="81"/>
      <c r="AB60" s="81"/>
      <c r="AC60" s="156"/>
      <c r="AD60" s="81"/>
      <c r="AE60" s="58"/>
      <c r="AG60" s="17" t="s">
        <v>0</v>
      </c>
    </row>
    <row r="61" spans="1:33" x14ac:dyDescent="0.25">
      <c r="B61" s="137" t="s">
        <v>44</v>
      </c>
      <c r="C61" s="628" t="str">
        <f>IF('Overview SRA'!G18="Yes",IF(SUM(C62)&gt;SUM(C64),"Up","Down"),IF(SUM(C63)&gt;SUM(C65),"Up","Down"))</f>
        <v>Down</v>
      </c>
      <c r="D61" s="503"/>
      <c r="E61" s="501"/>
      <c r="F61" s="501"/>
      <c r="G61" s="501"/>
      <c r="H61" s="171"/>
      <c r="I61" s="81"/>
      <c r="J61" s="504"/>
      <c r="K61" s="142"/>
      <c r="L61" s="141"/>
      <c r="M61" s="142"/>
      <c r="N61" s="143"/>
      <c r="O61" s="143"/>
      <c r="P61" s="143"/>
      <c r="Q61" s="143"/>
      <c r="R61" s="143"/>
      <c r="S61" s="143"/>
      <c r="T61" s="141"/>
      <c r="U61" s="156"/>
      <c r="V61" s="142"/>
      <c r="W61" s="143"/>
      <c r="X61" s="141"/>
      <c r="Y61" s="143"/>
      <c r="Z61" s="143"/>
      <c r="AA61" s="143"/>
      <c r="AB61" s="142"/>
      <c r="AC61" s="140"/>
      <c r="AD61" s="143"/>
      <c r="AE61" s="142"/>
      <c r="AG61" s="17" t="s">
        <v>0</v>
      </c>
    </row>
    <row r="62" spans="1:33" x14ac:dyDescent="0.25">
      <c r="A62" s="548" t="s">
        <v>533</v>
      </c>
      <c r="B62" s="147" t="s">
        <v>42</v>
      </c>
      <c r="C62" s="627">
        <f>MAX(SUM(J62)-SUM(V62),0)</f>
        <v>0</v>
      </c>
      <c r="D62" s="149"/>
      <c r="E62" s="81"/>
      <c r="F62" s="81"/>
      <c r="G62" s="81"/>
      <c r="H62" s="58"/>
      <c r="I62" s="81"/>
      <c r="J62" s="620">
        <f>SUM('Balance sheet'!$F$8)</f>
        <v>0</v>
      </c>
      <c r="K62" s="52" t="s">
        <v>95</v>
      </c>
      <c r="L62" s="458" t="s">
        <v>5</v>
      </c>
      <c r="M62" s="169" t="s">
        <v>5</v>
      </c>
      <c r="N62" s="184" t="s">
        <v>5</v>
      </c>
      <c r="O62" s="472" t="s">
        <v>5</v>
      </c>
      <c r="P62" s="184" t="s">
        <v>5</v>
      </c>
      <c r="Q62" s="184" t="s">
        <v>5</v>
      </c>
      <c r="R62" s="170" t="s">
        <v>5</v>
      </c>
      <c r="S62" s="461" t="s">
        <v>5</v>
      </c>
      <c r="T62" s="628">
        <f>SUM(L62:S62)</f>
        <v>0</v>
      </c>
      <c r="U62" s="156"/>
      <c r="V62" s="636">
        <f>IF(T62&gt;0,SUM(T62)-SUM(W62:AE62),J62)</f>
        <v>0</v>
      </c>
      <c r="W62" s="654">
        <f>SUM('Balance sheet'!$F$11)</f>
        <v>0</v>
      </c>
      <c r="X62" s="467" t="s">
        <v>5</v>
      </c>
      <c r="Y62" s="66" t="s">
        <v>5</v>
      </c>
      <c r="Z62" s="66" t="s">
        <v>5</v>
      </c>
      <c r="AA62" s="66" t="s">
        <v>5</v>
      </c>
      <c r="AB62" s="67" t="s">
        <v>5</v>
      </c>
      <c r="AC62" s="620">
        <f>SUM(Q62)</f>
        <v>0</v>
      </c>
      <c r="AD62" s="170" t="s">
        <v>5</v>
      </c>
      <c r="AE62" s="169" t="s">
        <v>5</v>
      </c>
      <c r="AG62" s="17" t="s">
        <v>0</v>
      </c>
    </row>
    <row r="63" spans="1:33" x14ac:dyDescent="0.25">
      <c r="A63" s="548"/>
      <c r="B63" s="147"/>
      <c r="C63" s="628">
        <f>MAX(SUM(J63)-SUM(V63),0)</f>
        <v>0</v>
      </c>
      <c r="D63" s="628">
        <f>MAX(SUM(C62)+SUM(Y63)-SUM(Y62),0)</f>
        <v>0</v>
      </c>
      <c r="E63" s="644">
        <f>MAX(SUM(C62)+SUM(Z63)-SUM(Z62),0)</f>
        <v>0</v>
      </c>
      <c r="F63" s="644">
        <f>MAX(SUM(C62)+SUM(L62:M62)-SUM(L63:M63),0)</f>
        <v>0</v>
      </c>
      <c r="G63" s="644">
        <f>MAX(SUM(C62)+SUM(N62)-SUM(N63),0)</f>
        <v>0</v>
      </c>
      <c r="H63" s="636">
        <f>MAX(SUM(C62)+SUM(AA63:AB63)-SUM(AA62:AB62),0)</f>
        <v>0</v>
      </c>
      <c r="I63" s="81"/>
      <c r="J63" s="620">
        <f>SUM('Balance sheet'!$F$8)</f>
        <v>0</v>
      </c>
      <c r="K63" s="52" t="s">
        <v>96</v>
      </c>
      <c r="L63" s="458" t="s">
        <v>5</v>
      </c>
      <c r="M63" s="169" t="s">
        <v>5</v>
      </c>
      <c r="N63" s="184" t="s">
        <v>5</v>
      </c>
      <c r="O63" s="472" t="s">
        <v>5</v>
      </c>
      <c r="P63" s="184" t="s">
        <v>5</v>
      </c>
      <c r="Q63" s="184" t="s">
        <v>5</v>
      </c>
      <c r="R63" s="170" t="s">
        <v>5</v>
      </c>
      <c r="S63" s="461" t="s">
        <v>5</v>
      </c>
      <c r="T63" s="628">
        <f>SUM(L63:S63)</f>
        <v>0</v>
      </c>
      <c r="U63" s="156"/>
      <c r="V63" s="636">
        <f>IF(T63&gt;0,SUM(T63)-SUM(W63:AE63),J63)</f>
        <v>0</v>
      </c>
      <c r="W63" s="644">
        <f>SUM('Balance sheet'!$F$11)</f>
        <v>0</v>
      </c>
      <c r="X63" s="458" t="s">
        <v>5</v>
      </c>
      <c r="Y63" s="170" t="s">
        <v>5</v>
      </c>
      <c r="Z63" s="170" t="s">
        <v>5</v>
      </c>
      <c r="AA63" s="170" t="s">
        <v>5</v>
      </c>
      <c r="AB63" s="169" t="s">
        <v>5</v>
      </c>
      <c r="AC63" s="620">
        <f>SUM(Q63)</f>
        <v>0</v>
      </c>
      <c r="AD63" s="170" t="s">
        <v>5</v>
      </c>
      <c r="AE63" s="169" t="s">
        <v>5</v>
      </c>
      <c r="AG63" s="17" t="s">
        <v>0</v>
      </c>
    </row>
    <row r="64" spans="1:33" x14ac:dyDescent="0.25">
      <c r="A64" s="548" t="s">
        <v>583</v>
      </c>
      <c r="B64" s="147" t="s">
        <v>43</v>
      </c>
      <c r="C64" s="628">
        <f>MAX(SUM(J64)-SUM(V64),0)</f>
        <v>0</v>
      </c>
      <c r="D64" s="149"/>
      <c r="E64" s="81"/>
      <c r="F64" s="81"/>
      <c r="G64" s="81"/>
      <c r="H64" s="58"/>
      <c r="I64" s="81"/>
      <c r="J64" s="620">
        <f>SUM('Balance sheet'!$F$8)</f>
        <v>0</v>
      </c>
      <c r="K64" s="52" t="s">
        <v>95</v>
      </c>
      <c r="L64" s="458" t="s">
        <v>5</v>
      </c>
      <c r="M64" s="169" t="s">
        <v>5</v>
      </c>
      <c r="N64" s="472" t="s">
        <v>5</v>
      </c>
      <c r="O64" s="472" t="s">
        <v>5</v>
      </c>
      <c r="P64" s="184" t="s">
        <v>5</v>
      </c>
      <c r="Q64" s="184" t="s">
        <v>5</v>
      </c>
      <c r="R64" s="170" t="s">
        <v>5</v>
      </c>
      <c r="S64" s="461" t="s">
        <v>5</v>
      </c>
      <c r="T64" s="628">
        <f>SUM(L64:S64)</f>
        <v>0</v>
      </c>
      <c r="U64" s="156"/>
      <c r="V64" s="624">
        <f>IF(T64&gt;0,SUM(T64)-SUM(W64:AE64),J64)</f>
        <v>0</v>
      </c>
      <c r="W64" s="644">
        <f>SUM('Balance sheet'!$F$11)</f>
        <v>0</v>
      </c>
      <c r="X64" s="458" t="s">
        <v>5</v>
      </c>
      <c r="Y64" s="170" t="s">
        <v>5</v>
      </c>
      <c r="Z64" s="170" t="s">
        <v>5</v>
      </c>
      <c r="AA64" s="170" t="s">
        <v>5</v>
      </c>
      <c r="AB64" s="169" t="s">
        <v>5</v>
      </c>
      <c r="AC64" s="620">
        <f>SUM(Q64)</f>
        <v>0</v>
      </c>
      <c r="AD64" s="170" t="s">
        <v>5</v>
      </c>
      <c r="AE64" s="169" t="s">
        <v>5</v>
      </c>
      <c r="AG64" s="17" t="s">
        <v>0</v>
      </c>
    </row>
    <row r="65" spans="1:33" x14ac:dyDescent="0.25">
      <c r="B65" s="139"/>
      <c r="C65" s="664">
        <f>MAX(SUM(J65)-SUM(V65),0)</f>
        <v>0</v>
      </c>
      <c r="D65" s="664">
        <f>MAX(SUM(C64)+SUM(Y65)-SUM(Y64),0)</f>
        <v>0</v>
      </c>
      <c r="E65" s="645">
        <f>MAX(SUM(C64)+SUM(Z65)-SUM(Z64),0)</f>
        <v>0</v>
      </c>
      <c r="F65" s="645">
        <f>MAX(SUM(C64)+SUM(L64:M64)-SUM(L65:M65),0)</f>
        <v>0</v>
      </c>
      <c r="G65" s="645">
        <f>MAX(SUM(C64)+SUM(N64)-SUM(N65),0)</f>
        <v>0</v>
      </c>
      <c r="H65" s="637">
        <f>MAX(SUM(C64)+SUM(AA65:AB65)-SUM(AA64:AB64),0)</f>
        <v>0</v>
      </c>
      <c r="I65" s="80"/>
      <c r="J65" s="626">
        <f>SUM('Balance sheet'!$F$8)</f>
        <v>0</v>
      </c>
      <c r="K65" s="61" t="s">
        <v>96</v>
      </c>
      <c r="L65" s="459" t="s">
        <v>5</v>
      </c>
      <c r="M65" s="70" t="s">
        <v>5</v>
      </c>
      <c r="N65" s="340" t="s">
        <v>5</v>
      </c>
      <c r="O65" s="340" t="s">
        <v>5</v>
      </c>
      <c r="P65" s="69" t="s">
        <v>5</v>
      </c>
      <c r="Q65" s="69" t="s">
        <v>5</v>
      </c>
      <c r="R65" s="69" t="s">
        <v>5</v>
      </c>
      <c r="S65" s="340" t="s">
        <v>5</v>
      </c>
      <c r="T65" s="664">
        <f>SUM(L65:S65)</f>
        <v>0</v>
      </c>
      <c r="U65" s="83"/>
      <c r="V65" s="659">
        <f>IF(T65&gt;0,SUM(T65)-SUM(W65:AE65),J65)</f>
        <v>0</v>
      </c>
      <c r="W65" s="645">
        <f>SUM('Balance sheet'!$F$11)</f>
        <v>0</v>
      </c>
      <c r="X65" s="459" t="s">
        <v>5</v>
      </c>
      <c r="Y65" s="69" t="s">
        <v>5</v>
      </c>
      <c r="Z65" s="69" t="s">
        <v>5</v>
      </c>
      <c r="AA65" s="69" t="s">
        <v>5</v>
      </c>
      <c r="AB65" s="70" t="s">
        <v>5</v>
      </c>
      <c r="AC65" s="626">
        <f>SUM(Q65)</f>
        <v>0</v>
      </c>
      <c r="AD65" s="69" t="s">
        <v>5</v>
      </c>
      <c r="AE65" s="70" t="s">
        <v>5</v>
      </c>
      <c r="AG65" s="17" t="s">
        <v>0</v>
      </c>
    </row>
    <row r="66" spans="1:33" x14ac:dyDescent="0.25">
      <c r="AG66" s="17" t="s">
        <v>0</v>
      </c>
    </row>
    <row r="67" spans="1:33" x14ac:dyDescent="0.25">
      <c r="AG67" s="17" t="s">
        <v>0</v>
      </c>
    </row>
    <row r="68" spans="1:33" x14ac:dyDescent="0.25">
      <c r="AG68" s="17" t="s">
        <v>0</v>
      </c>
    </row>
    <row r="69" spans="1:33" x14ac:dyDescent="0.25">
      <c r="AG69" s="17" t="s">
        <v>0</v>
      </c>
    </row>
    <row r="70" spans="1:33" x14ac:dyDescent="0.25">
      <c r="AG70" s="17" t="s">
        <v>0</v>
      </c>
    </row>
    <row r="71" spans="1:33" x14ac:dyDescent="0.25">
      <c r="B71" s="213" t="s">
        <v>236</v>
      </c>
      <c r="C71" s="216"/>
      <c r="D71" s="214"/>
      <c r="AG71" s="17" t="s">
        <v>0</v>
      </c>
    </row>
    <row r="72" spans="1:33" x14ac:dyDescent="0.25">
      <c r="B72" s="79"/>
      <c r="C72" s="54" t="s">
        <v>237</v>
      </c>
      <c r="D72" s="54" t="s">
        <v>238</v>
      </c>
      <c r="AG72" s="17" t="s">
        <v>0</v>
      </c>
    </row>
    <row r="73" spans="1:33" x14ac:dyDescent="0.25">
      <c r="B73" s="212" t="s">
        <v>233</v>
      </c>
      <c r="C73" s="222" t="s">
        <v>5</v>
      </c>
      <c r="D73" s="222" t="s">
        <v>5</v>
      </c>
      <c r="E73" s="550" t="s">
        <v>534</v>
      </c>
      <c r="F73" s="772" t="s">
        <v>373</v>
      </c>
      <c r="G73" s="773"/>
      <c r="H73" s="579" t="s">
        <v>600</v>
      </c>
      <c r="I73" s="578" t="str">
        <f>IF(H73="%","ALERT: Symmetric adjustment for the equity risk sub-module (provided by EIOPA annually) not completed in cell H73!","")</f>
        <v>ALERT: Symmetric adjustment for the equity risk sub-module (provided by EIOPA annually) not completed in cell H73!</v>
      </c>
      <c r="AG73" s="17" t="s">
        <v>0</v>
      </c>
    </row>
    <row r="74" spans="1:33" x14ac:dyDescent="0.25">
      <c r="B74" s="211" t="s">
        <v>231</v>
      </c>
      <c r="C74" s="221">
        <f>39%+SUM(H73)</f>
        <v>0.39</v>
      </c>
      <c r="D74" s="221">
        <f>49%+SUM(H73)</f>
        <v>0.49</v>
      </c>
      <c r="AG74" s="17" t="s">
        <v>0</v>
      </c>
    </row>
    <row r="75" spans="1:33" x14ac:dyDescent="0.25">
      <c r="B75" s="210" t="s">
        <v>240</v>
      </c>
      <c r="C75" s="205" t="s">
        <v>5</v>
      </c>
      <c r="D75" s="205" t="s">
        <v>5</v>
      </c>
      <c r="F75" s="150"/>
      <c r="G75" s="153" t="s">
        <v>237</v>
      </c>
      <c r="H75" s="154" t="s">
        <v>238</v>
      </c>
      <c r="AG75" s="17" t="s">
        <v>0</v>
      </c>
    </row>
    <row r="76" spans="1:33" x14ac:dyDescent="0.25">
      <c r="B76" s="212" t="s">
        <v>234</v>
      </c>
      <c r="C76" s="589">
        <f>SUM(C73)*SUM(C74)-SUM(C75)</f>
        <v>0</v>
      </c>
      <c r="D76" s="589">
        <f>SUM(D73)*SUM(D74)-SUM(D75)</f>
        <v>0</v>
      </c>
      <c r="F76" s="151" t="s">
        <v>237</v>
      </c>
      <c r="G76" s="217">
        <v>1</v>
      </c>
      <c r="H76" s="49"/>
      <c r="AG76" s="17" t="s">
        <v>0</v>
      </c>
    </row>
    <row r="77" spans="1:33" x14ac:dyDescent="0.25">
      <c r="B77" s="447" t="s">
        <v>235</v>
      </c>
      <c r="C77" s="666">
        <f>SUM(C73)-SUM(C76)</f>
        <v>0</v>
      </c>
      <c r="D77" s="666">
        <f>SUM(D73)-SUM(D76)</f>
        <v>0</v>
      </c>
      <c r="E77" s="193"/>
      <c r="F77" s="152" t="s">
        <v>238</v>
      </c>
      <c r="G77" s="219">
        <v>0.75</v>
      </c>
      <c r="H77" s="220">
        <v>1</v>
      </c>
      <c r="AG77" s="17" t="s">
        <v>0</v>
      </c>
    </row>
    <row r="78" spans="1:33" x14ac:dyDescent="0.25">
      <c r="A78"/>
      <c r="B78"/>
      <c r="C78"/>
      <c r="D78"/>
      <c r="E78"/>
      <c r="F78"/>
      <c r="AG78" s="17" t="s">
        <v>0</v>
      </c>
    </row>
    <row r="79" spans="1:33" x14ac:dyDescent="0.25">
      <c r="A79"/>
      <c r="B79"/>
      <c r="C79"/>
      <c r="D79"/>
      <c r="E79"/>
      <c r="F79"/>
      <c r="G79"/>
      <c r="AG79" s="17" t="s">
        <v>0</v>
      </c>
    </row>
    <row r="80" spans="1:33" x14ac:dyDescent="0.25">
      <c r="A80"/>
      <c r="B80"/>
      <c r="C80"/>
      <c r="D80"/>
      <c r="E80"/>
      <c r="F80"/>
      <c r="G80"/>
      <c r="AG80" s="17" t="s">
        <v>0</v>
      </c>
    </row>
    <row r="81" spans="2:66" x14ac:dyDescent="0.25">
      <c r="B81" s="762" t="s">
        <v>230</v>
      </c>
      <c r="C81" s="763"/>
      <c r="D81"/>
      <c r="E81"/>
      <c r="F81"/>
      <c r="G81"/>
      <c r="H81"/>
      <c r="I81"/>
      <c r="AG81" s="17" t="s">
        <v>0</v>
      </c>
    </row>
    <row r="82" spans="2:66" x14ac:dyDescent="0.25">
      <c r="B82" s="209" t="s">
        <v>233</v>
      </c>
      <c r="C82" s="205" t="s">
        <v>5</v>
      </c>
      <c r="D82"/>
      <c r="E82"/>
      <c r="F82"/>
      <c r="G82"/>
      <c r="H82"/>
      <c r="I82"/>
      <c r="AG82" s="17" t="s">
        <v>0</v>
      </c>
    </row>
    <row r="83" spans="2:66" x14ac:dyDescent="0.25">
      <c r="B83" s="212" t="s">
        <v>231</v>
      </c>
      <c r="C83" s="215">
        <v>0.25</v>
      </c>
      <c r="D83"/>
      <c r="E83"/>
      <c r="F83"/>
      <c r="G83"/>
      <c r="H83"/>
      <c r="I83"/>
      <c r="AG83" s="17" t="s">
        <v>0</v>
      </c>
    </row>
    <row r="84" spans="2:66" x14ac:dyDescent="0.25">
      <c r="B84" s="210" t="s">
        <v>232</v>
      </c>
      <c r="C84" s="206" t="s">
        <v>5</v>
      </c>
      <c r="D84"/>
      <c r="E84"/>
      <c r="F84"/>
      <c r="G84"/>
      <c r="H84"/>
      <c r="I84"/>
      <c r="AG84" s="17" t="s">
        <v>0</v>
      </c>
    </row>
    <row r="85" spans="2:66" x14ac:dyDescent="0.25">
      <c r="B85" s="209" t="s">
        <v>234</v>
      </c>
      <c r="C85" s="589">
        <f>SUM(C82)*SUM(C83)-SUM(C84)</f>
        <v>0</v>
      </c>
      <c r="D85"/>
      <c r="E85"/>
      <c r="F85"/>
      <c r="G85"/>
      <c r="H85"/>
      <c r="I85"/>
      <c r="AG85" s="17" t="s">
        <v>0</v>
      </c>
    </row>
    <row r="86" spans="2:66" x14ac:dyDescent="0.25">
      <c r="B86" s="51" t="s">
        <v>235</v>
      </c>
      <c r="C86" s="666">
        <f>SUM(C82)-SUM(C85)</f>
        <v>0</v>
      </c>
      <c r="D86"/>
      <c r="E86"/>
      <c r="F86"/>
      <c r="G86"/>
      <c r="H86"/>
      <c r="I86"/>
      <c r="AG86" s="17" t="s">
        <v>0</v>
      </c>
    </row>
    <row r="87" spans="2:66" x14ac:dyDescent="0.25">
      <c r="D87"/>
      <c r="E87"/>
      <c r="F87"/>
      <c r="G87"/>
      <c r="H87"/>
      <c r="I87"/>
      <c r="AG87" s="17" t="s">
        <v>0</v>
      </c>
    </row>
    <row r="88" spans="2:66" x14ac:dyDescent="0.25">
      <c r="D88"/>
      <c r="E88"/>
      <c r="F88"/>
      <c r="G88"/>
      <c r="H88"/>
      <c r="I88"/>
      <c r="AG88" s="17" t="s">
        <v>0</v>
      </c>
    </row>
    <row r="89" spans="2:66" x14ac:dyDescent="0.25">
      <c r="D89"/>
      <c r="E89"/>
      <c r="F89"/>
      <c r="G89"/>
      <c r="H89"/>
      <c r="I89"/>
      <c r="AG89" s="17" t="s">
        <v>0</v>
      </c>
    </row>
    <row r="90" spans="2:66" x14ac:dyDescent="0.25">
      <c r="B90" s="762" t="s">
        <v>270</v>
      </c>
      <c r="C90" s="771"/>
      <c r="D90" s="771"/>
      <c r="E90" s="771"/>
      <c r="F90" s="771"/>
      <c r="G90" s="771"/>
      <c r="H90" s="771"/>
      <c r="I90" s="771"/>
      <c r="J90" s="771"/>
      <c r="K90" s="771"/>
      <c r="L90" s="771"/>
      <c r="M90" s="763"/>
      <c r="AG90" s="17" t="s">
        <v>0</v>
      </c>
    </row>
    <row r="91" spans="2:66" x14ac:dyDescent="0.25">
      <c r="B91" s="149"/>
      <c r="C91" s="81"/>
      <c r="D91" s="81"/>
      <c r="E91" s="81"/>
      <c r="F91" s="81"/>
      <c r="G91" s="81"/>
      <c r="H91" s="81"/>
      <c r="I91" s="81"/>
      <c r="J91" s="81"/>
      <c r="K91" s="81"/>
      <c r="L91" s="81"/>
      <c r="M91" s="58"/>
      <c r="AG91" s="17" t="s">
        <v>0</v>
      </c>
      <c r="BC91" s="193"/>
      <c r="BD91" s="193"/>
      <c r="BE91" s="193"/>
      <c r="BF91" s="193"/>
      <c r="BG91" s="193"/>
      <c r="BH91" s="193"/>
      <c r="BI91" s="193"/>
      <c r="BJ91" s="193"/>
      <c r="BK91" s="193"/>
      <c r="BL91" s="193"/>
      <c r="BM91" s="193"/>
      <c r="BN91" s="193"/>
    </row>
    <row r="92" spans="2:66" x14ac:dyDescent="0.25">
      <c r="B92" s="756" t="s">
        <v>394</v>
      </c>
      <c r="C92" s="757"/>
      <c r="D92" s="757"/>
      <c r="E92" s="757"/>
      <c r="F92" s="666">
        <f>SUM(F95:F102,F105,F106,F108:F115,F117)</f>
        <v>0</v>
      </c>
      <c r="G92" s="81"/>
      <c r="H92" s="81"/>
      <c r="I92" s="764" t="s">
        <v>395</v>
      </c>
      <c r="J92" s="765"/>
      <c r="K92" s="666">
        <f>SUM(K95:K102)</f>
        <v>0</v>
      </c>
      <c r="L92" s="81"/>
      <c r="M92" s="58"/>
      <c r="AG92" s="17" t="s">
        <v>0</v>
      </c>
      <c r="AP92" s="193"/>
      <c r="AQ92" s="267"/>
      <c r="AR92" s="267"/>
      <c r="AS92" s="267"/>
      <c r="AT92" s="345"/>
      <c r="AU92" s="267"/>
      <c r="AV92" s="267"/>
      <c r="AW92" s="267"/>
      <c r="AX92" s="267"/>
      <c r="AY92" s="267"/>
      <c r="AZ92" s="267"/>
      <c r="BA92" s="267"/>
      <c r="BB92" s="267"/>
      <c r="BC92" s="267"/>
      <c r="BD92" s="267"/>
      <c r="BE92" s="267"/>
      <c r="BF92" s="267"/>
      <c r="BG92" s="267"/>
      <c r="BH92" s="267"/>
      <c r="BI92" s="267"/>
      <c r="BJ92" s="267"/>
      <c r="BK92" s="267"/>
      <c r="BL92" s="267"/>
      <c r="BM92" s="267"/>
      <c r="BN92" s="267"/>
    </row>
    <row r="93" spans="2:66" x14ac:dyDescent="0.25">
      <c r="B93" s="149"/>
      <c r="C93" s="81"/>
      <c r="D93" s="81"/>
      <c r="E93" s="81"/>
      <c r="F93" s="81"/>
      <c r="G93" s="81"/>
      <c r="H93" s="81"/>
      <c r="I93" s="81"/>
      <c r="J93" s="81"/>
      <c r="K93" s="81"/>
      <c r="L93" s="81"/>
      <c r="M93" s="58"/>
      <c r="AG93" s="17" t="s">
        <v>0</v>
      </c>
      <c r="AP93" s="193"/>
      <c r="AQ93" s="267"/>
      <c r="AR93" s="267"/>
      <c r="AS93" s="267"/>
      <c r="AT93" s="267"/>
      <c r="AU93" s="267"/>
      <c r="AV93" s="267"/>
      <c r="AW93" s="267"/>
      <c r="AX93" s="267"/>
      <c r="AY93" s="267"/>
      <c r="AZ93" s="267"/>
      <c r="BA93" s="267"/>
      <c r="BB93" s="267"/>
      <c r="BC93" s="267"/>
      <c r="BD93" s="267"/>
      <c r="BE93" s="267"/>
      <c r="BF93" s="267"/>
      <c r="BG93" s="267"/>
      <c r="BH93" s="267"/>
      <c r="BI93" s="267"/>
      <c r="BJ93" s="267"/>
      <c r="BK93" s="267"/>
      <c r="BL93" s="267"/>
      <c r="BM93" s="267"/>
      <c r="BN93" s="267"/>
    </row>
    <row r="94" spans="2:66" ht="45" x14ac:dyDescent="0.25">
      <c r="B94" s="259" t="s">
        <v>271</v>
      </c>
      <c r="C94" s="260" t="s">
        <v>283</v>
      </c>
      <c r="D94" s="261" t="s">
        <v>272</v>
      </c>
      <c r="E94" s="261" t="s">
        <v>284</v>
      </c>
      <c r="F94" s="261" t="s">
        <v>396</v>
      </c>
      <c r="G94" s="81"/>
      <c r="H94" s="81"/>
      <c r="I94" s="259" t="s">
        <v>273</v>
      </c>
      <c r="J94" s="260" t="s">
        <v>283</v>
      </c>
      <c r="K94" s="261" t="s">
        <v>396</v>
      </c>
      <c r="L94" s="81"/>
      <c r="M94" s="58"/>
      <c r="AG94" s="17" t="s">
        <v>0</v>
      </c>
      <c r="AJ94" s="193"/>
      <c r="AK94" s="193"/>
      <c r="AL94" s="193"/>
      <c r="AM94" s="193"/>
      <c r="AN94" s="193"/>
      <c r="AP94" s="193"/>
      <c r="AQ94" s="358"/>
      <c r="AR94" s="358"/>
      <c r="AS94" s="358"/>
      <c r="AT94" s="359" t="s">
        <v>292</v>
      </c>
      <c r="AU94" s="358"/>
      <c r="AV94" s="358"/>
      <c r="AW94" s="358"/>
      <c r="AX94" s="358"/>
      <c r="AY94" s="358"/>
      <c r="AZ94" s="358"/>
      <c r="BA94" s="358"/>
      <c r="BB94" s="358"/>
      <c r="BC94" s="358"/>
      <c r="BD94" s="358"/>
      <c r="BE94" s="359" t="s">
        <v>293</v>
      </c>
      <c r="BF94" s="358"/>
      <c r="BG94" s="358"/>
      <c r="BH94" s="358"/>
      <c r="BI94" s="358"/>
      <c r="BJ94" s="358"/>
      <c r="BK94" s="358"/>
      <c r="BL94" s="358"/>
      <c r="BM94" s="358"/>
      <c r="BN94" s="267"/>
    </row>
    <row r="95" spans="2:66" x14ac:dyDescent="0.25">
      <c r="B95" s="341">
        <v>0</v>
      </c>
      <c r="C95" s="589">
        <f>SUMIFS(C$122:C$151,$B$122:$B$151,$B95,$E$122:$E$151,"No")</f>
        <v>0</v>
      </c>
      <c r="D95" s="589" t="str">
        <f>IF(AND(E95&lt;&gt;"-",E95&lt;&gt;0),E95/C95,"-")</f>
        <v>-</v>
      </c>
      <c r="E95" s="589">
        <f>SUMIFS(F$122:F$151,$B$122:$B$151,$B95,$E$122:$E$151,"No")</f>
        <v>0</v>
      </c>
      <c r="F95" s="589">
        <f>SUMIFS(G$122:G$151,$B$122:$B$151,$B95,$E$122:$E$151,"No")</f>
        <v>0</v>
      </c>
      <c r="G95" s="81"/>
      <c r="H95" s="81"/>
      <c r="I95" s="341">
        <v>0</v>
      </c>
      <c r="J95" s="589">
        <f>SUMIF(I$122:I$151,$I95,J$122:J$151)</f>
        <v>0</v>
      </c>
      <c r="K95" s="589">
        <f>SUMIF(I$122:I$151,$I95,M$122:M$151)</f>
        <v>0</v>
      </c>
      <c r="L95" s="81"/>
      <c r="M95" s="58"/>
      <c r="AG95" s="17" t="s">
        <v>0</v>
      </c>
      <c r="AJ95" s="193"/>
      <c r="AK95" s="360">
        <v>0</v>
      </c>
      <c r="AL95" s="361">
        <v>1</v>
      </c>
      <c r="AM95" s="193"/>
      <c r="AN95" s="362" t="s">
        <v>237</v>
      </c>
      <c r="AP95" s="358" t="s">
        <v>310</v>
      </c>
      <c r="AQ95" s="193"/>
      <c r="AR95" s="193"/>
      <c r="AS95" s="363"/>
      <c r="AT95" s="349" t="s">
        <v>304</v>
      </c>
      <c r="AU95" s="350">
        <v>0</v>
      </c>
      <c r="AV95" s="350">
        <v>1</v>
      </c>
      <c r="AW95" s="350">
        <v>2</v>
      </c>
      <c r="AX95" s="350">
        <v>3</v>
      </c>
      <c r="AY95" s="350">
        <v>4</v>
      </c>
      <c r="AZ95" s="350">
        <v>5</v>
      </c>
      <c r="BA95" s="350">
        <v>6</v>
      </c>
      <c r="BB95" s="350" t="s">
        <v>109</v>
      </c>
      <c r="BC95" s="363"/>
      <c r="BD95" s="363"/>
      <c r="BE95" s="349" t="s">
        <v>304</v>
      </c>
      <c r="BF95" s="350">
        <v>0</v>
      </c>
      <c r="BG95" s="350">
        <v>1</v>
      </c>
      <c r="BH95" s="350">
        <v>2</v>
      </c>
      <c r="BI95" s="350">
        <v>3</v>
      </c>
      <c r="BJ95" s="350">
        <v>4</v>
      </c>
      <c r="BK95" s="351">
        <v>5</v>
      </c>
      <c r="BL95" s="350">
        <v>6</v>
      </c>
      <c r="BM95" s="350" t="s">
        <v>109</v>
      </c>
      <c r="BN95" s="344"/>
    </row>
    <row r="96" spans="2:66" x14ac:dyDescent="0.25">
      <c r="B96" s="341">
        <v>1</v>
      </c>
      <c r="C96" s="622">
        <f t="shared" ref="C96:C102" si="19">SUMIFS(C$122:C$151,$B$122:$B$151,$B96,$E$122:$E$151,"No")</f>
        <v>0</v>
      </c>
      <c r="D96" s="622" t="str">
        <f t="shared" ref="D96:D102" si="20">IF(AND(E96&lt;&gt;"-",E96&lt;&gt;0),E96/C96,"-")</f>
        <v>-</v>
      </c>
      <c r="E96" s="622">
        <f t="shared" ref="E96:F101" si="21">SUMIFS(F$122:F$151,$B$122:$B$151,$B96,$E$122:$E$151,"No")</f>
        <v>0</v>
      </c>
      <c r="F96" s="622">
        <f t="shared" si="21"/>
        <v>0</v>
      </c>
      <c r="G96" s="81"/>
      <c r="H96" s="81"/>
      <c r="I96" s="341">
        <v>1</v>
      </c>
      <c r="J96" s="622">
        <f t="shared" ref="J96:J102" si="22">SUMIF(I$122:I$151,$I96,J$122:J$151)</f>
        <v>0</v>
      </c>
      <c r="K96" s="622">
        <f t="shared" ref="K96:K102" si="23">SUMIF(I$122:I$151,$I96,M$122:M$151)</f>
        <v>0</v>
      </c>
      <c r="L96" s="81"/>
      <c r="M96" s="58"/>
      <c r="AG96" s="17" t="s">
        <v>0</v>
      </c>
      <c r="AJ96" s="193"/>
      <c r="AK96" s="364">
        <v>1</v>
      </c>
      <c r="AL96" s="365">
        <v>2</v>
      </c>
      <c r="AM96" s="193"/>
      <c r="AN96" s="366" t="s">
        <v>238</v>
      </c>
      <c r="AP96" s="358"/>
      <c r="AQ96" s="193" t="s">
        <v>309</v>
      </c>
      <c r="AR96" s="358" t="s">
        <v>308</v>
      </c>
      <c r="AS96" s="358"/>
      <c r="AT96" s="352" t="s">
        <v>294</v>
      </c>
      <c r="AU96" s="353">
        <v>0</v>
      </c>
      <c r="AV96" s="353">
        <v>0</v>
      </c>
      <c r="AW96" s="353">
        <v>0</v>
      </c>
      <c r="AX96" s="353">
        <v>0</v>
      </c>
      <c r="AY96" s="353">
        <v>0</v>
      </c>
      <c r="AZ96" s="353">
        <v>0</v>
      </c>
      <c r="BA96" s="353">
        <v>0</v>
      </c>
      <c r="BB96" s="353">
        <v>0</v>
      </c>
      <c r="BC96" s="358"/>
      <c r="BD96" s="358"/>
      <c r="BE96" s="352" t="s">
        <v>294</v>
      </c>
      <c r="BF96" s="353">
        <v>0</v>
      </c>
      <c r="BG96" s="353">
        <v>0</v>
      </c>
      <c r="BH96" s="353">
        <v>0</v>
      </c>
      <c r="BI96" s="353">
        <v>0</v>
      </c>
      <c r="BJ96" s="353">
        <v>0</v>
      </c>
      <c r="BK96" s="354">
        <v>0</v>
      </c>
      <c r="BL96" s="353">
        <v>0</v>
      </c>
      <c r="BM96" s="353">
        <v>0</v>
      </c>
      <c r="BN96" s="267"/>
    </row>
    <row r="97" spans="2:66" x14ac:dyDescent="0.25">
      <c r="B97" s="341">
        <v>2</v>
      </c>
      <c r="C97" s="622">
        <f t="shared" si="19"/>
        <v>0</v>
      </c>
      <c r="D97" s="622" t="str">
        <f t="shared" si="20"/>
        <v>-</v>
      </c>
      <c r="E97" s="622">
        <f t="shared" si="21"/>
        <v>0</v>
      </c>
      <c r="F97" s="622">
        <f t="shared" si="21"/>
        <v>0</v>
      </c>
      <c r="G97" s="81"/>
      <c r="H97" s="81"/>
      <c r="I97" s="341">
        <v>2</v>
      </c>
      <c r="J97" s="622">
        <f t="shared" si="22"/>
        <v>0</v>
      </c>
      <c r="K97" s="622">
        <f t="shared" si="23"/>
        <v>0</v>
      </c>
      <c r="L97" s="81"/>
      <c r="M97" s="58"/>
      <c r="AG97" s="17" t="s">
        <v>0</v>
      </c>
      <c r="AJ97" s="193"/>
      <c r="AK97" s="364">
        <v>2</v>
      </c>
      <c r="AL97" s="365">
        <v>3</v>
      </c>
      <c r="AM97" s="193"/>
      <c r="AN97" s="367" t="s">
        <v>280</v>
      </c>
      <c r="AP97" s="368" t="s">
        <v>307</v>
      </c>
      <c r="AQ97" s="346">
        <f>MAX(COUNT(A:A)-COUNT(A1:A121),1)</f>
        <v>1</v>
      </c>
      <c r="AR97" s="346">
        <f>MAX(COUNT(H:H)-COUNT(H1:H121),1)</f>
        <v>8</v>
      </c>
      <c r="AS97" s="358"/>
      <c r="AT97" s="352" t="s">
        <v>295</v>
      </c>
      <c r="AU97" s="353">
        <v>4.4999999999999998E-2</v>
      </c>
      <c r="AV97" s="353">
        <v>5.5E-2</v>
      </c>
      <c r="AW97" s="353">
        <v>7.0000000000000007E-2</v>
      </c>
      <c r="AX97" s="353">
        <v>0.125</v>
      </c>
      <c r="AY97" s="353">
        <v>0.22500000000000001</v>
      </c>
      <c r="AZ97" s="353">
        <v>0.375</v>
      </c>
      <c r="BA97" s="353">
        <v>0.375</v>
      </c>
      <c r="BB97" s="353">
        <v>0.15</v>
      </c>
      <c r="BC97" s="358"/>
      <c r="BD97" s="358"/>
      <c r="BE97" s="352" t="s">
        <v>295</v>
      </c>
      <c r="BF97" s="353">
        <v>0</v>
      </c>
      <c r="BG97" s="353">
        <v>0</v>
      </c>
      <c r="BH97" s="353">
        <v>5.5E-2</v>
      </c>
      <c r="BI97" s="353">
        <v>7.0000000000000007E-2</v>
      </c>
      <c r="BJ97" s="353">
        <v>0.125</v>
      </c>
      <c r="BK97" s="354">
        <v>0.22500000000000001</v>
      </c>
      <c r="BL97" s="353">
        <v>0.22500000000000001</v>
      </c>
      <c r="BM97" s="353">
        <v>0.15</v>
      </c>
      <c r="BN97" s="267"/>
    </row>
    <row r="98" spans="2:66" x14ac:dyDescent="0.25">
      <c r="B98" s="341">
        <v>3</v>
      </c>
      <c r="C98" s="622">
        <f t="shared" si="19"/>
        <v>0</v>
      </c>
      <c r="D98" s="622" t="str">
        <f t="shared" si="20"/>
        <v>-</v>
      </c>
      <c r="E98" s="622">
        <f t="shared" si="21"/>
        <v>0</v>
      </c>
      <c r="F98" s="622">
        <f t="shared" si="21"/>
        <v>0</v>
      </c>
      <c r="G98" s="81"/>
      <c r="H98" s="81"/>
      <c r="I98" s="341">
        <v>3</v>
      </c>
      <c r="J98" s="622">
        <f t="shared" si="22"/>
        <v>0</v>
      </c>
      <c r="K98" s="622">
        <f t="shared" si="23"/>
        <v>0</v>
      </c>
      <c r="L98" s="81"/>
      <c r="M98" s="58"/>
      <c r="AG98" s="17" t="s">
        <v>0</v>
      </c>
      <c r="AJ98" s="193"/>
      <c r="AK98" s="364">
        <v>3</v>
      </c>
      <c r="AL98" s="365">
        <v>4</v>
      </c>
      <c r="AM98" s="193"/>
      <c r="AN98" s="193"/>
      <c r="AP98" s="368" t="s">
        <v>306</v>
      </c>
      <c r="AQ98" s="346" t="e">
        <f ca="1">COUNTIF(OFFSET(A122,0,0,MAX(A:A),1),"")</f>
        <v>#REF!</v>
      </c>
      <c r="AR98" s="346">
        <f ca="1">COUNTIF(OFFSET(H122,0,0,MAX(I:I),1),"")</f>
        <v>6</v>
      </c>
      <c r="AS98" s="358"/>
      <c r="AT98" s="352" t="s">
        <v>296</v>
      </c>
      <c r="AU98" s="353">
        <v>7.0000000000000007E-2</v>
      </c>
      <c r="AV98" s="353">
        <v>8.5000000000000006E-2</v>
      </c>
      <c r="AW98" s="353">
        <v>0.105</v>
      </c>
      <c r="AX98" s="353">
        <v>0.2</v>
      </c>
      <c r="AY98" s="353">
        <v>0.35</v>
      </c>
      <c r="AZ98" s="353">
        <v>0.58499999999999996</v>
      </c>
      <c r="BA98" s="353">
        <v>0.58499999999999996</v>
      </c>
      <c r="BB98" s="353">
        <v>0.23499999999999999</v>
      </c>
      <c r="BC98" s="358"/>
      <c r="BD98" s="358"/>
      <c r="BE98" s="352" t="s">
        <v>296</v>
      </c>
      <c r="BF98" s="353">
        <v>0</v>
      </c>
      <c r="BG98" s="353">
        <v>0</v>
      </c>
      <c r="BH98" s="353">
        <v>8.4000000000000005E-2</v>
      </c>
      <c r="BI98" s="353">
        <v>0.105</v>
      </c>
      <c r="BJ98" s="353">
        <v>0.2</v>
      </c>
      <c r="BK98" s="354">
        <v>0.35</v>
      </c>
      <c r="BL98" s="353">
        <v>0.35</v>
      </c>
      <c r="BM98" s="353">
        <v>0.23499999999999999</v>
      </c>
      <c r="BN98" s="267"/>
    </row>
    <row r="99" spans="2:66" x14ac:dyDescent="0.25">
      <c r="B99" s="341">
        <v>4</v>
      </c>
      <c r="C99" s="622">
        <f t="shared" si="19"/>
        <v>0</v>
      </c>
      <c r="D99" s="622" t="str">
        <f t="shared" si="20"/>
        <v>-</v>
      </c>
      <c r="E99" s="622">
        <f t="shared" si="21"/>
        <v>0</v>
      </c>
      <c r="F99" s="622">
        <f t="shared" si="21"/>
        <v>0</v>
      </c>
      <c r="G99" s="81"/>
      <c r="H99" s="81"/>
      <c r="I99" s="341">
        <v>4</v>
      </c>
      <c r="J99" s="622">
        <f t="shared" si="22"/>
        <v>0</v>
      </c>
      <c r="K99" s="622">
        <f t="shared" si="23"/>
        <v>0</v>
      </c>
      <c r="L99" s="81"/>
      <c r="M99" s="58"/>
      <c r="AG99" s="17" t="s">
        <v>0</v>
      </c>
      <c r="AJ99" s="193"/>
      <c r="AK99" s="364">
        <v>4</v>
      </c>
      <c r="AL99" s="365">
        <v>5</v>
      </c>
      <c r="AM99" s="193"/>
      <c r="AN99" s="193"/>
      <c r="AP99" s="358"/>
      <c r="AQ99" s="358"/>
      <c r="AR99" s="358"/>
      <c r="AS99" s="358"/>
      <c r="AT99" s="352" t="s">
        <v>297</v>
      </c>
      <c r="AU99" s="353">
        <v>9.5000000000000001E-2</v>
      </c>
      <c r="AV99" s="353">
        <v>0.11</v>
      </c>
      <c r="AW99" s="353">
        <v>0.13</v>
      </c>
      <c r="AX99" s="353">
        <v>0.25</v>
      </c>
      <c r="AY99" s="353">
        <v>0.44</v>
      </c>
      <c r="AZ99" s="353">
        <v>0.61</v>
      </c>
      <c r="BA99" s="353">
        <v>0.61</v>
      </c>
      <c r="BB99" s="353">
        <v>0.23499999999999999</v>
      </c>
      <c r="BC99" s="358"/>
      <c r="BD99" s="358"/>
      <c r="BE99" s="352" t="s">
        <v>297</v>
      </c>
      <c r="BF99" s="353">
        <v>0</v>
      </c>
      <c r="BG99" s="353">
        <v>0</v>
      </c>
      <c r="BH99" s="353">
        <v>0.109</v>
      </c>
      <c r="BI99" s="353">
        <v>0.13</v>
      </c>
      <c r="BJ99" s="353">
        <v>0.25</v>
      </c>
      <c r="BK99" s="354">
        <v>0.44</v>
      </c>
      <c r="BL99" s="353">
        <v>0.44</v>
      </c>
      <c r="BM99" s="353">
        <v>0.23499999999999999</v>
      </c>
      <c r="BN99" s="267"/>
    </row>
    <row r="100" spans="2:66" x14ac:dyDescent="0.25">
      <c r="B100" s="341">
        <v>5</v>
      </c>
      <c r="C100" s="622">
        <f t="shared" si="19"/>
        <v>0</v>
      </c>
      <c r="D100" s="622" t="str">
        <f t="shared" si="20"/>
        <v>-</v>
      </c>
      <c r="E100" s="622">
        <f t="shared" si="21"/>
        <v>0</v>
      </c>
      <c r="F100" s="622">
        <f t="shared" si="21"/>
        <v>0</v>
      </c>
      <c r="G100" s="81"/>
      <c r="H100" s="81"/>
      <c r="I100" s="341">
        <v>5</v>
      </c>
      <c r="J100" s="622">
        <f t="shared" si="22"/>
        <v>0</v>
      </c>
      <c r="K100" s="622">
        <f t="shared" si="23"/>
        <v>0</v>
      </c>
      <c r="L100" s="81"/>
      <c r="M100" s="58"/>
      <c r="AG100" s="17" t="s">
        <v>0</v>
      </c>
      <c r="AJ100" s="193"/>
      <c r="AK100" s="364">
        <v>5</v>
      </c>
      <c r="AL100" s="365">
        <v>6</v>
      </c>
      <c r="AM100" s="193"/>
      <c r="AN100" s="193"/>
      <c r="AP100" s="358"/>
      <c r="AQ100" s="358"/>
      <c r="AR100" s="358"/>
      <c r="AS100" s="358"/>
      <c r="AT100" s="352" t="s">
        <v>298</v>
      </c>
      <c r="AU100" s="353">
        <v>0.12</v>
      </c>
      <c r="AV100" s="353">
        <v>0.13500000000000001</v>
      </c>
      <c r="AW100" s="353">
        <v>0.155</v>
      </c>
      <c r="AX100" s="353">
        <v>0.3</v>
      </c>
      <c r="AY100" s="353">
        <v>0.46600000000000003</v>
      </c>
      <c r="AZ100" s="353">
        <v>0.63500000000000001</v>
      </c>
      <c r="BA100" s="353">
        <v>0.63500000000000001</v>
      </c>
      <c r="BB100" s="353">
        <v>0.35499999999999998</v>
      </c>
      <c r="BC100" s="358"/>
      <c r="BD100" s="358"/>
      <c r="BE100" s="352" t="s">
        <v>298</v>
      </c>
      <c r="BF100" s="353">
        <v>0</v>
      </c>
      <c r="BG100" s="353">
        <v>0</v>
      </c>
      <c r="BH100" s="353">
        <v>0.13400000000000001</v>
      </c>
      <c r="BI100" s="353">
        <v>0.155</v>
      </c>
      <c r="BJ100" s="353">
        <v>0.3</v>
      </c>
      <c r="BK100" s="354">
        <v>0.46500000000000002</v>
      </c>
      <c r="BL100" s="353">
        <v>0.46500000000000002</v>
      </c>
      <c r="BM100" s="353">
        <v>0.35499999999999998</v>
      </c>
      <c r="BN100" s="267"/>
    </row>
    <row r="101" spans="2:66" x14ac:dyDescent="0.25">
      <c r="B101" s="341">
        <v>6</v>
      </c>
      <c r="C101" s="622">
        <f t="shared" si="19"/>
        <v>0</v>
      </c>
      <c r="D101" s="622" t="str">
        <f t="shared" si="20"/>
        <v>-</v>
      </c>
      <c r="E101" s="622">
        <f t="shared" si="21"/>
        <v>0</v>
      </c>
      <c r="F101" s="622">
        <f t="shared" si="21"/>
        <v>0</v>
      </c>
      <c r="G101" s="81"/>
      <c r="H101" s="81"/>
      <c r="I101" s="341">
        <v>6</v>
      </c>
      <c r="J101" s="622">
        <f t="shared" si="22"/>
        <v>0</v>
      </c>
      <c r="K101" s="622">
        <f t="shared" si="23"/>
        <v>0</v>
      </c>
      <c r="L101" s="81"/>
      <c r="M101" s="58"/>
      <c r="AG101" s="17" t="s">
        <v>0</v>
      </c>
      <c r="AJ101" s="193"/>
      <c r="AK101" s="364">
        <v>6</v>
      </c>
      <c r="AL101" s="365">
        <v>7</v>
      </c>
      <c r="AM101" s="193"/>
      <c r="AN101" s="193"/>
      <c r="AP101" s="358"/>
      <c r="AQ101" s="358"/>
      <c r="AR101" s="358"/>
      <c r="AS101" s="358"/>
      <c r="AT101" s="358"/>
      <c r="AU101" s="358"/>
      <c r="AV101" s="358"/>
      <c r="AW101" s="358"/>
      <c r="AX101" s="358"/>
      <c r="AY101" s="358"/>
      <c r="AZ101" s="358"/>
      <c r="BA101" s="358"/>
      <c r="BB101" s="358"/>
      <c r="BC101" s="358"/>
      <c r="BD101" s="358"/>
      <c r="BE101" s="358"/>
      <c r="BF101" s="358"/>
      <c r="BG101" s="358"/>
      <c r="BH101" s="358"/>
      <c r="BI101" s="358"/>
      <c r="BJ101" s="358"/>
      <c r="BK101" s="358"/>
      <c r="BL101" s="369"/>
      <c r="BM101" s="358"/>
      <c r="BN101" s="267"/>
    </row>
    <row r="102" spans="2:66" x14ac:dyDescent="0.25">
      <c r="B102" s="342" t="s">
        <v>109</v>
      </c>
      <c r="C102" s="625">
        <f t="shared" si="19"/>
        <v>0</v>
      </c>
      <c r="D102" s="625" t="str">
        <f t="shared" si="20"/>
        <v>-</v>
      </c>
      <c r="E102" s="625">
        <f>SUMIFS(F$122:F$151,$B$122:$B$151,$B102,$E$122:$E$151,"No")</f>
        <v>0</v>
      </c>
      <c r="F102" s="625">
        <f t="shared" ref="F102" si="24">SUMIFS(G$122:G$151,$B$122:$B$151,$B102,$E$122:$E$151,"No")</f>
        <v>0</v>
      </c>
      <c r="G102" s="81"/>
      <c r="H102" s="81"/>
      <c r="I102" s="342" t="s">
        <v>109</v>
      </c>
      <c r="J102" s="625">
        <f t="shared" si="22"/>
        <v>0</v>
      </c>
      <c r="K102" s="625">
        <f t="shared" si="23"/>
        <v>0</v>
      </c>
      <c r="L102" s="81"/>
      <c r="M102" s="58"/>
      <c r="AG102" s="17" t="s">
        <v>0</v>
      </c>
      <c r="AJ102" s="193"/>
      <c r="AK102" s="370" t="s">
        <v>109</v>
      </c>
      <c r="AL102" s="371">
        <v>8</v>
      </c>
      <c r="AM102" s="193"/>
      <c r="AN102" s="193"/>
      <c r="AP102" s="360" t="s">
        <v>305</v>
      </c>
      <c r="AQ102" s="372"/>
      <c r="AR102" s="373"/>
      <c r="AS102" s="358"/>
      <c r="AT102" s="359" t="s">
        <v>299</v>
      </c>
      <c r="AU102" s="358"/>
      <c r="AV102" s="358"/>
      <c r="AW102" s="358"/>
      <c r="AX102" s="358"/>
      <c r="AY102" s="358"/>
      <c r="AZ102" s="358"/>
      <c r="BA102" s="358"/>
      <c r="BB102" s="358"/>
      <c r="BC102" s="358"/>
      <c r="BD102" s="358"/>
      <c r="BE102" s="359" t="s">
        <v>300</v>
      </c>
      <c r="BF102" s="358"/>
      <c r="BG102" s="358"/>
      <c r="BH102" s="358"/>
      <c r="BI102" s="358"/>
      <c r="BJ102" s="358"/>
      <c r="BK102" s="358"/>
      <c r="BL102" s="369"/>
      <c r="BM102" s="358"/>
      <c r="BN102" s="267"/>
    </row>
    <row r="103" spans="2:66" x14ac:dyDescent="0.25">
      <c r="B103" s="149"/>
      <c r="C103" s="81"/>
      <c r="D103" s="81"/>
      <c r="E103" s="81"/>
      <c r="F103" s="81"/>
      <c r="G103" s="81"/>
      <c r="H103" s="81"/>
      <c r="I103" s="81"/>
      <c r="J103" s="81"/>
      <c r="K103" s="81"/>
      <c r="L103" s="81"/>
      <c r="M103" s="58"/>
      <c r="AG103" s="17" t="s">
        <v>0</v>
      </c>
      <c r="AJ103" s="193"/>
      <c r="AK103" s="193"/>
      <c r="AL103" s="193"/>
      <c r="AM103" s="193"/>
      <c r="AN103" s="193"/>
      <c r="AP103" s="364"/>
      <c r="AQ103" s="369" t="s">
        <v>19</v>
      </c>
      <c r="AR103" s="374"/>
      <c r="AS103" s="358"/>
      <c r="AT103" s="349" t="s">
        <v>304</v>
      </c>
      <c r="AU103" s="350">
        <v>0</v>
      </c>
      <c r="AV103" s="350">
        <v>1</v>
      </c>
      <c r="AW103" s="350">
        <v>2</v>
      </c>
      <c r="AX103" s="350">
        <v>3</v>
      </c>
      <c r="AY103" s="350">
        <v>4</v>
      </c>
      <c r="AZ103" s="350">
        <v>5</v>
      </c>
      <c r="BA103" s="350">
        <v>6</v>
      </c>
      <c r="BB103" s="350" t="s">
        <v>109</v>
      </c>
      <c r="BC103" s="358"/>
      <c r="BD103" s="358"/>
      <c r="BE103" s="355"/>
      <c r="BF103" s="350">
        <v>0</v>
      </c>
      <c r="BG103" s="350">
        <v>1</v>
      </c>
      <c r="BH103" s="350">
        <v>2</v>
      </c>
      <c r="BI103" s="350">
        <v>3</v>
      </c>
      <c r="BJ103" s="350">
        <v>4</v>
      </c>
      <c r="BK103" s="351">
        <v>5</v>
      </c>
      <c r="BL103" s="350">
        <v>6</v>
      </c>
      <c r="BM103" s="350" t="s">
        <v>109</v>
      </c>
      <c r="BN103" s="267"/>
    </row>
    <row r="104" spans="2:66" ht="45" x14ac:dyDescent="0.25">
      <c r="B104" s="259" t="s">
        <v>274</v>
      </c>
      <c r="C104" s="260" t="s">
        <v>283</v>
      </c>
      <c r="D104" s="261" t="s">
        <v>272</v>
      </c>
      <c r="E104" s="261" t="s">
        <v>285</v>
      </c>
      <c r="F104" s="261" t="s">
        <v>396</v>
      </c>
      <c r="G104" s="81"/>
      <c r="H104" s="81"/>
      <c r="I104" s="81"/>
      <c r="J104" s="81"/>
      <c r="K104" s="81"/>
      <c r="L104" s="81"/>
      <c r="M104" s="58"/>
      <c r="AG104" s="17" t="s">
        <v>0</v>
      </c>
      <c r="AJ104" s="193"/>
      <c r="AK104" s="193"/>
      <c r="AL104" s="193"/>
      <c r="AM104" s="193"/>
      <c r="AN104" s="193"/>
      <c r="AP104" s="364"/>
      <c r="AQ104" s="369" t="s">
        <v>281</v>
      </c>
      <c r="AR104" s="374"/>
      <c r="AS104" s="358"/>
      <c r="AT104" s="352" t="s">
        <v>294</v>
      </c>
      <c r="AU104" s="353">
        <v>8.9999999999999993E-3</v>
      </c>
      <c r="AV104" s="353">
        <v>1.0999999999999999E-2</v>
      </c>
      <c r="AW104" s="353">
        <v>1.4E-2</v>
      </c>
      <c r="AX104" s="353">
        <v>2.5000000000000001E-2</v>
      </c>
      <c r="AY104" s="353">
        <v>4.4999999999999998E-2</v>
      </c>
      <c r="AZ104" s="353">
        <v>7.4999999999999997E-2</v>
      </c>
      <c r="BA104" s="353">
        <v>7.4999999999999997E-2</v>
      </c>
      <c r="BB104" s="353">
        <v>0.03</v>
      </c>
      <c r="BC104" s="358"/>
      <c r="BD104" s="358"/>
      <c r="BE104" s="352" t="s">
        <v>294</v>
      </c>
      <c r="BF104" s="353">
        <v>0</v>
      </c>
      <c r="BG104" s="353">
        <v>0</v>
      </c>
      <c r="BH104" s="353">
        <v>1.0999999999999999E-2</v>
      </c>
      <c r="BI104" s="353">
        <v>1.4E-2</v>
      </c>
      <c r="BJ104" s="353">
        <v>2.5000000000000001E-2</v>
      </c>
      <c r="BK104" s="354">
        <v>4.4999999999999998E-2</v>
      </c>
      <c r="BL104" s="353">
        <v>4.4999999999999998E-2</v>
      </c>
      <c r="BM104" s="353">
        <v>0.03</v>
      </c>
      <c r="BN104" s="267"/>
    </row>
    <row r="105" spans="2:66" x14ac:dyDescent="0.25">
      <c r="B105" s="343">
        <v>0</v>
      </c>
      <c r="C105" s="589">
        <f>SUMIFS(C$122:C$151,$B$122:$B$151,$B105,$E$122:$E$151,"Covered bond")</f>
        <v>0</v>
      </c>
      <c r="D105" s="589" t="str">
        <f>IF(AND(E105&lt;&gt;"-",E105&lt;&gt;0),E105/C105,"-")</f>
        <v>-</v>
      </c>
      <c r="E105" s="589">
        <f>SUMIFS(F$122:F$151,$B$122:$B$151,$B105,$E$122:$E$151,"Covered bond")</f>
        <v>0</v>
      </c>
      <c r="F105" s="589">
        <f>SUMIFS(G$122:G$151,$B$122:$B$151,$B105,$E$122:$E$151,"Covered bond")</f>
        <v>0</v>
      </c>
      <c r="G105" s="81"/>
      <c r="H105" s="81"/>
      <c r="I105" s="81"/>
      <c r="J105" s="81"/>
      <c r="K105" s="81"/>
      <c r="L105" s="81"/>
      <c r="M105" s="58"/>
      <c r="AG105" s="17" t="s">
        <v>0</v>
      </c>
      <c r="AP105" s="370"/>
      <c r="AQ105" s="375" t="s">
        <v>282</v>
      </c>
      <c r="AR105" s="376"/>
      <c r="AS105" s="358"/>
      <c r="AT105" s="352" t="s">
        <v>295</v>
      </c>
      <c r="AU105" s="353">
        <v>5.0000000000000001E-3</v>
      </c>
      <c r="AV105" s="353">
        <v>6.0000000000000001E-3</v>
      </c>
      <c r="AW105" s="353">
        <v>7.0000000000000001E-3</v>
      </c>
      <c r="AX105" s="353">
        <v>1.4999999999999999E-2</v>
      </c>
      <c r="AY105" s="353">
        <v>2.5000000000000001E-2</v>
      </c>
      <c r="AZ105" s="353">
        <v>4.2000000000000003E-2</v>
      </c>
      <c r="BA105" s="353">
        <v>4.2000000000000003E-2</v>
      </c>
      <c r="BB105" s="353">
        <v>1.7000000000000001E-2</v>
      </c>
      <c r="BC105" s="358"/>
      <c r="BD105" s="358"/>
      <c r="BE105" s="352" t="s">
        <v>295</v>
      </c>
      <c r="BF105" s="353">
        <v>0</v>
      </c>
      <c r="BG105" s="353">
        <v>0</v>
      </c>
      <c r="BH105" s="353">
        <v>6.0000000000000001E-3</v>
      </c>
      <c r="BI105" s="353">
        <v>7.0000000000000001E-3</v>
      </c>
      <c r="BJ105" s="353">
        <v>1.4999999999999999E-2</v>
      </c>
      <c r="BK105" s="354">
        <v>2.5000000000000001E-2</v>
      </c>
      <c r="BL105" s="353">
        <v>2.5000000000000001E-2</v>
      </c>
      <c r="BM105" s="353">
        <v>1.7000000000000001E-2</v>
      </c>
      <c r="BN105" s="267"/>
    </row>
    <row r="106" spans="2:66" x14ac:dyDescent="0.25">
      <c r="B106" s="342">
        <v>1</v>
      </c>
      <c r="C106" s="625">
        <f>SUMIFS(C$122:C$151,$B$122:$B$151,$B106,$E$122:$E$151,"Covered bond")</f>
        <v>0</v>
      </c>
      <c r="D106" s="622" t="str">
        <f>IF(AND(E106&lt;&gt;"-",E106&lt;&gt;0),E106/C106,"-")</f>
        <v>-</v>
      </c>
      <c r="E106" s="625">
        <f>SUMIFS(F$122:F$151,$B$122:$B$151,$B106,$E$122:$E$151,"Covered bond")</f>
        <v>0</v>
      </c>
      <c r="F106" s="625">
        <f>SUMIFS(G$122:G$151,$B$122:$B$151,$B106,$E$122:$E$151,"Covered bond")</f>
        <v>0</v>
      </c>
      <c r="G106" s="81"/>
      <c r="H106" s="81"/>
      <c r="I106" s="81"/>
      <c r="J106" s="81"/>
      <c r="K106" s="81"/>
      <c r="L106" s="81"/>
      <c r="M106" s="58"/>
      <c r="AG106" s="17" t="s">
        <v>0</v>
      </c>
      <c r="AP106" s="193"/>
      <c r="AQ106" s="358"/>
      <c r="AR106" s="358"/>
      <c r="AS106" s="358"/>
      <c r="AT106" s="352" t="s">
        <v>296</v>
      </c>
      <c r="AU106" s="353">
        <v>5.0000000000000001E-3</v>
      </c>
      <c r="AV106" s="353">
        <v>5.0000000000000001E-3</v>
      </c>
      <c r="AW106" s="353">
        <v>5.0000000000000001E-3</v>
      </c>
      <c r="AX106" s="353">
        <v>0.01</v>
      </c>
      <c r="AY106" s="353">
        <v>1.7999999999999999E-2</v>
      </c>
      <c r="AZ106" s="353">
        <v>5.0000000000000001E-3</v>
      </c>
      <c r="BA106" s="353">
        <v>5.0000000000000001E-3</v>
      </c>
      <c r="BB106" s="353">
        <v>1.2E-2</v>
      </c>
      <c r="BC106" s="358"/>
      <c r="BD106" s="358"/>
      <c r="BE106" s="352" t="s">
        <v>296</v>
      </c>
      <c r="BF106" s="353">
        <v>0</v>
      </c>
      <c r="BG106" s="353">
        <v>0</v>
      </c>
      <c r="BH106" s="353">
        <v>5.0000000000000001E-3</v>
      </c>
      <c r="BI106" s="353">
        <v>5.0000000000000001E-3</v>
      </c>
      <c r="BJ106" s="353">
        <v>0.01</v>
      </c>
      <c r="BK106" s="354">
        <v>1.7999999999999999E-2</v>
      </c>
      <c r="BL106" s="353">
        <v>1.7999999999999999E-2</v>
      </c>
      <c r="BM106" s="353">
        <v>1.2E-2</v>
      </c>
      <c r="BN106" s="267"/>
    </row>
    <row r="107" spans="2:66" ht="45" x14ac:dyDescent="0.25">
      <c r="B107" s="259" t="s">
        <v>275</v>
      </c>
      <c r="C107" s="260" t="s">
        <v>283</v>
      </c>
      <c r="D107" s="411" t="s">
        <v>272</v>
      </c>
      <c r="E107" s="411" t="s">
        <v>285</v>
      </c>
      <c r="F107" s="261" t="s">
        <v>396</v>
      </c>
      <c r="G107" s="81"/>
      <c r="H107" s="81"/>
      <c r="I107" s="81"/>
      <c r="J107" s="81"/>
      <c r="K107" s="81"/>
      <c r="L107" s="81"/>
      <c r="M107" s="58"/>
      <c r="AG107" s="17" t="s">
        <v>0</v>
      </c>
      <c r="AP107" s="193"/>
      <c r="AQ107" s="358"/>
      <c r="AR107" s="358"/>
      <c r="AS107" s="358"/>
      <c r="AT107" s="352" t="s">
        <v>297</v>
      </c>
      <c r="AU107" s="353">
        <v>5.0000000000000001E-3</v>
      </c>
      <c r="AV107" s="353">
        <v>5.0000000000000001E-3</v>
      </c>
      <c r="AW107" s="353">
        <v>5.0000000000000001E-3</v>
      </c>
      <c r="AX107" s="353">
        <v>0.01</v>
      </c>
      <c r="AY107" s="353">
        <v>5.0000000000000001E-3</v>
      </c>
      <c r="AZ107" s="353">
        <v>5.0000000000000001E-3</v>
      </c>
      <c r="BA107" s="353">
        <v>5.0000000000000001E-3</v>
      </c>
      <c r="BB107" s="353">
        <v>1.2E-2</v>
      </c>
      <c r="BC107" s="358"/>
      <c r="BD107" s="358"/>
      <c r="BE107" s="352" t="s">
        <v>297</v>
      </c>
      <c r="BF107" s="353">
        <v>0</v>
      </c>
      <c r="BG107" s="353">
        <v>0</v>
      </c>
      <c r="BH107" s="353">
        <v>5.0000000000000001E-3</v>
      </c>
      <c r="BI107" s="353">
        <v>5.0000000000000001E-3</v>
      </c>
      <c r="BJ107" s="353">
        <v>0.01</v>
      </c>
      <c r="BK107" s="354">
        <v>5.0000000000000001E-3</v>
      </c>
      <c r="BL107" s="353">
        <v>5.0000000000000001E-3</v>
      </c>
      <c r="BM107" s="353">
        <v>1.2E-2</v>
      </c>
      <c r="BN107" s="267"/>
    </row>
    <row r="108" spans="2:66" x14ac:dyDescent="0.25">
      <c r="B108" s="341">
        <v>0</v>
      </c>
      <c r="C108" s="589">
        <f>SUMIFS(C$122:C$151,$B$122:$B$151,$B108,$E$122:$E$151,"Non-EEA sovereign")</f>
        <v>0</v>
      </c>
      <c r="D108" s="589" t="str">
        <f t="shared" ref="D108:D115" si="25">IF(AND(E108&lt;&gt;"-",E108&lt;&gt;0),E108/C108,"-")</f>
        <v>-</v>
      </c>
      <c r="E108" s="589">
        <f>SUMIFS(F$122:F$151,$B$122:$B$151,$B108,$E$122:$E$151,"Non-EEA sovereign")</f>
        <v>0</v>
      </c>
      <c r="F108" s="589">
        <f>SUMIFS(G$122:G$151,$B$122:$B$151,$B108,$E$122:$E$151,"Non-EEA sovereign")</f>
        <v>0</v>
      </c>
      <c r="G108" s="81"/>
      <c r="H108" s="81"/>
      <c r="I108" s="81"/>
      <c r="J108" s="81"/>
      <c r="K108" s="81"/>
      <c r="L108" s="81"/>
      <c r="M108" s="58"/>
      <c r="AG108" s="17" t="s">
        <v>0</v>
      </c>
      <c r="AP108" s="193"/>
      <c r="AQ108" s="358"/>
      <c r="AR108" s="358"/>
      <c r="AS108" s="358"/>
      <c r="AT108" s="352" t="s">
        <v>298</v>
      </c>
      <c r="AU108" s="353">
        <v>5.0000000000000001E-3</v>
      </c>
      <c r="AV108" s="353">
        <v>5.0000000000000001E-3</v>
      </c>
      <c r="AW108" s="353">
        <v>5.0000000000000001E-3</v>
      </c>
      <c r="AX108" s="353">
        <v>5.0000000000000001E-3</v>
      </c>
      <c r="AY108" s="353">
        <v>5.0000000000000001E-3</v>
      </c>
      <c r="AZ108" s="353">
        <v>5.0000000000000001E-3</v>
      </c>
      <c r="BA108" s="353">
        <v>5.0000000000000001E-3</v>
      </c>
      <c r="BB108" s="353">
        <v>5.0000000000000001E-3</v>
      </c>
      <c r="BC108" s="358"/>
      <c r="BD108" s="358"/>
      <c r="BE108" s="352" t="s">
        <v>298</v>
      </c>
      <c r="BF108" s="353">
        <v>0</v>
      </c>
      <c r="BG108" s="353">
        <v>0</v>
      </c>
      <c r="BH108" s="353">
        <v>5.0000000000000001E-3</v>
      </c>
      <c r="BI108" s="353">
        <v>5.0000000000000001E-3</v>
      </c>
      <c r="BJ108" s="353">
        <v>5.0000000000000001E-3</v>
      </c>
      <c r="BK108" s="354">
        <v>5.0000000000000001E-3</v>
      </c>
      <c r="BL108" s="353">
        <v>5.0000000000000001E-3</v>
      </c>
      <c r="BM108" s="353">
        <v>5.0000000000000001E-3</v>
      </c>
      <c r="BN108" s="267"/>
    </row>
    <row r="109" spans="2:66" x14ac:dyDescent="0.25">
      <c r="B109" s="341">
        <v>1</v>
      </c>
      <c r="C109" s="622">
        <f t="shared" ref="C109:C115" si="26">SUMIFS(C$122:C$151,$B$122:$B$151,$B109,$E$122:$E$151,"Non-EEA sovereign")</f>
        <v>0</v>
      </c>
      <c r="D109" s="622" t="str">
        <f t="shared" si="25"/>
        <v>-</v>
      </c>
      <c r="E109" s="622">
        <f t="shared" ref="E109:F115" si="27">SUMIFS(F$122:F$151,$B$122:$B$151,$B109,$E$122:$E$151,"Non-EEA sovereign")</f>
        <v>0</v>
      </c>
      <c r="F109" s="622">
        <f t="shared" si="27"/>
        <v>0</v>
      </c>
      <c r="G109" s="81"/>
      <c r="H109" s="81"/>
      <c r="I109" s="81"/>
      <c r="J109" s="81"/>
      <c r="K109" s="81"/>
      <c r="L109" s="81"/>
      <c r="M109" s="58"/>
      <c r="AG109" s="17" t="s">
        <v>0</v>
      </c>
      <c r="AP109" s="193"/>
      <c r="AQ109" s="177"/>
      <c r="AR109" s="177"/>
      <c r="AS109" s="358"/>
      <c r="AT109" s="358"/>
      <c r="AU109" s="358"/>
      <c r="AV109" s="358"/>
      <c r="AW109" s="358"/>
      <c r="AX109" s="358"/>
      <c r="AY109" s="358"/>
      <c r="AZ109" s="358"/>
      <c r="BA109" s="358"/>
      <c r="BB109" s="358"/>
      <c r="BC109" s="358"/>
      <c r="BD109" s="358"/>
      <c r="BE109" s="358"/>
      <c r="BF109" s="377"/>
      <c r="BG109" s="358"/>
      <c r="BH109" s="358"/>
      <c r="BI109" s="358"/>
      <c r="BJ109" s="358"/>
      <c r="BK109" s="358"/>
      <c r="BL109" s="358"/>
      <c r="BM109" s="358"/>
      <c r="BN109" s="267"/>
    </row>
    <row r="110" spans="2:66" x14ac:dyDescent="0.25">
      <c r="B110" s="341">
        <v>2</v>
      </c>
      <c r="C110" s="622">
        <f t="shared" si="26"/>
        <v>0</v>
      </c>
      <c r="D110" s="622" t="str">
        <f t="shared" si="25"/>
        <v>-</v>
      </c>
      <c r="E110" s="622">
        <f t="shared" si="27"/>
        <v>0</v>
      </c>
      <c r="F110" s="622">
        <f t="shared" si="27"/>
        <v>0</v>
      </c>
      <c r="G110" s="81"/>
      <c r="H110" s="81"/>
      <c r="I110" s="81"/>
      <c r="J110" s="81"/>
      <c r="K110" s="81"/>
      <c r="L110" s="81"/>
      <c r="M110" s="58"/>
      <c r="AG110" s="17" t="s">
        <v>0</v>
      </c>
      <c r="AQ110" s="193"/>
      <c r="AR110" s="177"/>
      <c r="AS110" s="358"/>
      <c r="AT110" s="359" t="s">
        <v>273</v>
      </c>
      <c r="AU110" s="358"/>
      <c r="AV110" s="358"/>
      <c r="AW110" s="358"/>
      <c r="AX110" s="358"/>
      <c r="AY110" s="358"/>
      <c r="AZ110" s="358"/>
      <c r="BA110" s="358"/>
      <c r="BB110" s="358"/>
      <c r="BC110" s="358"/>
      <c r="BD110" s="358"/>
      <c r="BE110" s="358"/>
      <c r="BF110" s="358"/>
      <c r="BG110" s="358"/>
      <c r="BH110" s="358"/>
      <c r="BI110" s="358"/>
      <c r="BJ110" s="358"/>
      <c r="BK110" s="358"/>
      <c r="BL110" s="358"/>
      <c r="BM110" s="358"/>
      <c r="BN110" s="267"/>
    </row>
    <row r="111" spans="2:66" x14ac:dyDescent="0.25">
      <c r="B111" s="341">
        <v>3</v>
      </c>
      <c r="C111" s="622">
        <f t="shared" si="26"/>
        <v>0</v>
      </c>
      <c r="D111" s="622" t="str">
        <f t="shared" si="25"/>
        <v>-</v>
      </c>
      <c r="E111" s="622">
        <f t="shared" si="27"/>
        <v>0</v>
      </c>
      <c r="F111" s="622">
        <f t="shared" si="27"/>
        <v>0</v>
      </c>
      <c r="G111" s="81"/>
      <c r="H111" s="81"/>
      <c r="I111" s="81"/>
      <c r="J111" s="81"/>
      <c r="K111" s="81"/>
      <c r="L111" s="81"/>
      <c r="M111" s="58"/>
      <c r="AG111" s="17" t="s">
        <v>0</v>
      </c>
      <c r="AQ111" s="193"/>
      <c r="AR111" s="177"/>
      <c r="AS111" s="358"/>
      <c r="AT111" s="358"/>
      <c r="AU111" s="358"/>
      <c r="AV111" s="358"/>
      <c r="AW111" s="358"/>
      <c r="AX111" s="358"/>
      <c r="AY111" s="358"/>
      <c r="AZ111" s="358"/>
      <c r="BA111" s="358"/>
      <c r="BB111" s="358"/>
      <c r="BC111" s="358"/>
      <c r="BD111" s="358"/>
      <c r="BE111" s="358"/>
      <c r="BF111" s="358"/>
      <c r="BG111" s="358"/>
      <c r="BH111" s="358"/>
      <c r="BI111" s="358"/>
      <c r="BJ111" s="358"/>
      <c r="BK111" s="358"/>
      <c r="BL111" s="358"/>
      <c r="BM111" s="358"/>
      <c r="BN111" s="267"/>
    </row>
    <row r="112" spans="2:66" x14ac:dyDescent="0.25">
      <c r="B112" s="341">
        <v>4</v>
      </c>
      <c r="C112" s="622">
        <f t="shared" si="26"/>
        <v>0</v>
      </c>
      <c r="D112" s="622" t="str">
        <f t="shared" si="25"/>
        <v>-</v>
      </c>
      <c r="E112" s="622">
        <f t="shared" si="27"/>
        <v>0</v>
      </c>
      <c r="F112" s="622">
        <f t="shared" si="27"/>
        <v>0</v>
      </c>
      <c r="G112" s="81"/>
      <c r="H112" s="81"/>
      <c r="I112" s="81"/>
      <c r="J112" s="81"/>
      <c r="K112" s="81"/>
      <c r="L112" s="81"/>
      <c r="M112" s="58"/>
      <c r="AG112" s="17" t="s">
        <v>0</v>
      </c>
      <c r="AQ112" s="193"/>
      <c r="AR112" s="358"/>
      <c r="AS112" s="358"/>
      <c r="AT112" s="359" t="s">
        <v>237</v>
      </c>
      <c r="AU112" s="358"/>
      <c r="AV112" s="358"/>
      <c r="AW112" s="358"/>
      <c r="AX112" s="358"/>
      <c r="AY112" s="358"/>
      <c r="AZ112" s="358"/>
      <c r="BA112" s="358"/>
      <c r="BB112" s="358"/>
      <c r="BC112" s="358"/>
      <c r="BD112" s="358"/>
      <c r="BE112" s="358"/>
      <c r="BF112" s="358"/>
      <c r="BG112" s="358"/>
      <c r="BH112" s="358"/>
      <c r="BI112" s="358"/>
      <c r="BJ112" s="358"/>
      <c r="BK112" s="358"/>
      <c r="BL112" s="358"/>
      <c r="BM112" s="358"/>
      <c r="BN112" s="267"/>
    </row>
    <row r="113" spans="1:66" x14ac:dyDescent="0.25">
      <c r="B113" s="341">
        <v>5</v>
      </c>
      <c r="C113" s="622">
        <f t="shared" si="26"/>
        <v>0</v>
      </c>
      <c r="D113" s="622" t="str">
        <f t="shared" si="25"/>
        <v>-</v>
      </c>
      <c r="E113" s="622">
        <f t="shared" si="27"/>
        <v>0</v>
      </c>
      <c r="F113" s="622">
        <f t="shared" si="27"/>
        <v>0</v>
      </c>
      <c r="G113" s="81"/>
      <c r="H113" s="81"/>
      <c r="I113" s="81"/>
      <c r="J113" s="81"/>
      <c r="K113" s="81"/>
      <c r="L113" s="81"/>
      <c r="M113" s="58"/>
      <c r="AG113" s="17" t="s">
        <v>0</v>
      </c>
      <c r="AQ113" s="358"/>
      <c r="AR113" s="358"/>
      <c r="AS113" s="358"/>
      <c r="AT113" s="356" t="s">
        <v>301</v>
      </c>
      <c r="AU113" s="274">
        <v>0</v>
      </c>
      <c r="AV113" s="274">
        <v>1</v>
      </c>
      <c r="AW113" s="274">
        <v>2</v>
      </c>
      <c r="AX113" s="275">
        <v>3</v>
      </c>
      <c r="AY113" s="358"/>
      <c r="AZ113" s="358"/>
      <c r="BA113" s="358"/>
      <c r="BB113" s="358"/>
      <c r="BC113" s="358"/>
      <c r="BD113" s="358"/>
      <c r="BE113" s="358"/>
      <c r="BF113" s="358"/>
      <c r="BG113" s="358"/>
      <c r="BH113" s="358"/>
      <c r="BI113" s="358"/>
      <c r="BJ113" s="358"/>
      <c r="BK113" s="358"/>
      <c r="BL113" s="358"/>
      <c r="BM113" s="358"/>
      <c r="BN113" s="267"/>
    </row>
    <row r="114" spans="1:66" x14ac:dyDescent="0.25">
      <c r="B114" s="341">
        <v>6</v>
      </c>
      <c r="C114" s="622">
        <f t="shared" si="26"/>
        <v>0</v>
      </c>
      <c r="D114" s="622" t="str">
        <f t="shared" si="25"/>
        <v>-</v>
      </c>
      <c r="E114" s="622">
        <f t="shared" si="27"/>
        <v>0</v>
      </c>
      <c r="F114" s="622">
        <f t="shared" si="27"/>
        <v>0</v>
      </c>
      <c r="G114" s="81"/>
      <c r="H114" s="81"/>
      <c r="I114" s="81"/>
      <c r="J114" s="81"/>
      <c r="K114" s="81"/>
      <c r="L114" s="81"/>
      <c r="M114" s="58"/>
      <c r="AG114" s="17" t="s">
        <v>0</v>
      </c>
      <c r="AQ114" s="358"/>
      <c r="AR114" s="358"/>
      <c r="AS114" s="358"/>
      <c r="AT114" s="357" t="s">
        <v>302</v>
      </c>
      <c r="AU114" s="280">
        <v>2.1000000000000001E-2</v>
      </c>
      <c r="AV114" s="280">
        <v>0.03</v>
      </c>
      <c r="AW114" s="280">
        <v>0.03</v>
      </c>
      <c r="AX114" s="281">
        <v>0.03</v>
      </c>
      <c r="AY114" s="358"/>
      <c r="AZ114" s="358"/>
      <c r="BA114" s="358"/>
      <c r="BB114" s="358"/>
      <c r="BC114" s="358"/>
      <c r="BD114" s="358"/>
      <c r="BE114" s="358"/>
      <c r="BF114" s="358"/>
      <c r="BG114" s="358"/>
      <c r="BH114" s="358"/>
      <c r="BI114" s="358"/>
      <c r="BJ114" s="358"/>
      <c r="BK114" s="358"/>
      <c r="BL114" s="358"/>
      <c r="BM114" s="358"/>
      <c r="BN114" s="267"/>
    </row>
    <row r="115" spans="1:66" x14ac:dyDescent="0.25">
      <c r="B115" s="342" t="s">
        <v>109</v>
      </c>
      <c r="C115" s="625">
        <f t="shared" si="26"/>
        <v>0</v>
      </c>
      <c r="D115" s="625" t="str">
        <f t="shared" si="25"/>
        <v>-</v>
      </c>
      <c r="E115" s="625">
        <f t="shared" si="27"/>
        <v>0</v>
      </c>
      <c r="F115" s="625">
        <f t="shared" si="27"/>
        <v>0</v>
      </c>
      <c r="G115" s="81"/>
      <c r="H115" s="81"/>
      <c r="I115" s="81"/>
      <c r="J115" s="81"/>
      <c r="K115" s="81"/>
      <c r="L115" s="81"/>
      <c r="M115" s="58"/>
      <c r="AG115" s="17" t="s">
        <v>0</v>
      </c>
      <c r="AJ115" s="193"/>
      <c r="AK115" s="193"/>
      <c r="AL115" s="193"/>
      <c r="AM115" s="193"/>
      <c r="AN115" s="193"/>
      <c r="AO115" s="193"/>
      <c r="AQ115" s="358"/>
      <c r="AR115" s="358"/>
      <c r="AS115" s="358"/>
      <c r="AT115" s="193"/>
      <c r="AU115" s="193"/>
      <c r="AV115" s="193"/>
      <c r="AW115" s="193"/>
      <c r="AX115" s="193"/>
      <c r="AY115" s="378"/>
      <c r="AZ115" s="378"/>
      <c r="BA115" s="378"/>
      <c r="BB115" s="358"/>
      <c r="BC115" s="358"/>
      <c r="BD115" s="358"/>
      <c r="BE115" s="199"/>
      <c r="BF115" s="199"/>
      <c r="BG115" s="199"/>
      <c r="BH115" s="199"/>
      <c r="BI115" s="199"/>
      <c r="BJ115" s="199"/>
      <c r="BK115" s="199"/>
      <c r="BL115" s="199"/>
      <c r="BM115" s="199"/>
      <c r="BN115" s="239"/>
    </row>
    <row r="116" spans="1:66" ht="30" x14ac:dyDescent="0.25">
      <c r="B116" s="259" t="s">
        <v>484</v>
      </c>
      <c r="C116" s="260" t="s">
        <v>283</v>
      </c>
      <c r="D116" s="441"/>
      <c r="E116" s="441"/>
      <c r="F116" s="261" t="s">
        <v>396</v>
      </c>
      <c r="G116" s="81"/>
      <c r="H116" s="81"/>
      <c r="I116" s="81"/>
      <c r="J116" s="81"/>
      <c r="K116" s="81"/>
      <c r="L116" s="81"/>
      <c r="M116" s="58"/>
      <c r="AG116" s="17" t="s">
        <v>0</v>
      </c>
      <c r="AJ116" s="193"/>
      <c r="AK116" s="193"/>
      <c r="AL116" s="193"/>
      <c r="AM116" s="193"/>
      <c r="AN116" s="193"/>
      <c r="AO116" s="193"/>
      <c r="AQ116" s="358"/>
      <c r="AR116" s="358"/>
      <c r="AS116" s="358"/>
      <c r="AT116" s="359" t="s">
        <v>238</v>
      </c>
      <c r="AU116" s="379"/>
      <c r="AV116" s="380"/>
      <c r="AW116" s="380"/>
      <c r="AX116" s="380"/>
      <c r="AY116" s="379"/>
      <c r="AZ116" s="380"/>
      <c r="BA116" s="380"/>
      <c r="BB116" s="358"/>
      <c r="BC116" s="358"/>
      <c r="BD116" s="358"/>
      <c r="BE116" s="199"/>
      <c r="BF116" s="199"/>
      <c r="BG116" s="199"/>
      <c r="BH116" s="199"/>
      <c r="BI116" s="199"/>
      <c r="BJ116" s="199"/>
      <c r="BK116" s="199"/>
      <c r="BL116" s="199"/>
      <c r="BM116" s="199"/>
      <c r="BN116" s="239"/>
    </row>
    <row r="117" spans="1:66" x14ac:dyDescent="0.25">
      <c r="B117" s="342"/>
      <c r="C117" s="621">
        <f>SUM(C156:C160)+SUM(C165:C169)</f>
        <v>0</v>
      </c>
      <c r="D117" s="81"/>
      <c r="E117" s="81"/>
      <c r="F117" s="667">
        <f>SUM(G156:G160)+SUM(G165:G169)</f>
        <v>0</v>
      </c>
      <c r="G117" s="81"/>
      <c r="H117" s="81"/>
      <c r="I117" s="81"/>
      <c r="J117" s="81"/>
      <c r="K117" s="81"/>
      <c r="L117" s="81"/>
      <c r="M117" s="58"/>
      <c r="AG117" s="17" t="s">
        <v>0</v>
      </c>
      <c r="AJ117" s="193"/>
      <c r="AK117" s="193"/>
      <c r="AL117" s="193"/>
      <c r="AM117" s="193"/>
      <c r="AN117" s="193"/>
      <c r="AO117" s="193"/>
      <c r="AQ117" s="358"/>
      <c r="AR117" s="358"/>
      <c r="AS117" s="358"/>
      <c r="AT117" s="356" t="s">
        <v>301</v>
      </c>
      <c r="AU117" s="273">
        <v>0</v>
      </c>
      <c r="AV117" s="274">
        <v>1</v>
      </c>
      <c r="AW117" s="274">
        <v>2</v>
      </c>
      <c r="AX117" s="274">
        <v>3</v>
      </c>
      <c r="AY117" s="273">
        <v>4</v>
      </c>
      <c r="AZ117" s="274">
        <v>5</v>
      </c>
      <c r="BA117" s="275">
        <v>6</v>
      </c>
      <c r="BB117" s="358"/>
      <c r="BC117" s="358"/>
      <c r="BD117" s="358"/>
      <c r="BE117" s="199"/>
      <c r="BF117" s="199"/>
      <c r="BG117" s="199"/>
      <c r="BH117" s="199"/>
      <c r="BI117" s="199"/>
      <c r="BJ117" s="199"/>
      <c r="BK117" s="199"/>
      <c r="BL117" s="199"/>
      <c r="BM117" s="199"/>
      <c r="BN117" s="239"/>
    </row>
    <row r="118" spans="1:66" x14ac:dyDescent="0.25">
      <c r="B118" s="149"/>
      <c r="C118" s="81"/>
      <c r="D118" s="81"/>
      <c r="E118" s="81"/>
      <c r="F118" s="81"/>
      <c r="G118" s="81"/>
      <c r="H118" s="81"/>
      <c r="I118" s="81"/>
      <c r="J118" s="81"/>
      <c r="K118" s="81"/>
      <c r="L118" s="81"/>
      <c r="M118" s="58"/>
      <c r="AG118" s="17" t="s">
        <v>0</v>
      </c>
      <c r="AJ118" s="193"/>
      <c r="AN118" s="193"/>
      <c r="AO118" s="193"/>
      <c r="AQ118" s="359"/>
      <c r="AR118" s="359"/>
      <c r="AS118" s="359"/>
      <c r="AT118" s="357" t="s">
        <v>302</v>
      </c>
      <c r="AU118" s="279">
        <v>0.125</v>
      </c>
      <c r="AV118" s="280">
        <v>0.13400000000000001</v>
      </c>
      <c r="AW118" s="280">
        <v>0.16600000000000001</v>
      </c>
      <c r="AX118" s="280">
        <v>0.19700000000000001</v>
      </c>
      <c r="AY118" s="279">
        <v>0.82</v>
      </c>
      <c r="AZ118" s="280">
        <v>1</v>
      </c>
      <c r="BA118" s="281">
        <v>1</v>
      </c>
      <c r="BB118" s="359"/>
      <c r="BC118" s="359"/>
      <c r="BD118" s="359"/>
      <c r="BE118" s="381"/>
      <c r="BF118" s="381"/>
      <c r="BG118" s="381"/>
      <c r="BH118" s="381"/>
      <c r="BI118" s="381"/>
      <c r="BJ118" s="381"/>
      <c r="BK118" s="381"/>
      <c r="BL118" s="381"/>
      <c r="BM118" s="381"/>
      <c r="BN118" s="263"/>
    </row>
    <row r="119" spans="1:66" x14ac:dyDescent="0.25">
      <c r="B119" s="262" t="s">
        <v>271</v>
      </c>
      <c r="C119" s="262"/>
      <c r="D119" s="262"/>
      <c r="E119" s="262"/>
      <c r="F119" s="262"/>
      <c r="G119" s="262"/>
      <c r="H119" s="81"/>
      <c r="I119" s="774" t="s">
        <v>273</v>
      </c>
      <c r="J119" s="775"/>
      <c r="K119" s="775"/>
      <c r="L119" s="775"/>
      <c r="M119" s="776"/>
      <c r="AG119" s="17" t="s">
        <v>0</v>
      </c>
      <c r="AJ119" s="193"/>
      <c r="AN119" s="193"/>
      <c r="AO119" s="193"/>
      <c r="AQ119" s="358"/>
      <c r="AR119" s="358"/>
      <c r="AS119" s="358"/>
      <c r="AT119" s="359"/>
      <c r="AU119" s="379"/>
      <c r="AV119" s="380"/>
      <c r="AW119" s="380"/>
      <c r="AX119" s="380"/>
      <c r="AY119" s="379"/>
      <c r="AZ119" s="380"/>
      <c r="BA119" s="380"/>
      <c r="BB119" s="369"/>
      <c r="BC119" s="358"/>
      <c r="BD119" s="358"/>
      <c r="BE119" s="199"/>
      <c r="BF119" s="199"/>
      <c r="BG119" s="199"/>
      <c r="BH119" s="199"/>
      <c r="BI119" s="199"/>
      <c r="BJ119" s="199"/>
      <c r="BK119" s="199"/>
      <c r="BL119" s="199"/>
      <c r="BM119" s="199"/>
      <c r="BN119" s="239"/>
    </row>
    <row r="120" spans="1:66" x14ac:dyDescent="0.25">
      <c r="B120" s="758" t="s">
        <v>276</v>
      </c>
      <c r="C120" s="758" t="s">
        <v>286</v>
      </c>
      <c r="D120" s="758" t="s">
        <v>277</v>
      </c>
      <c r="E120" s="758" t="s">
        <v>278</v>
      </c>
      <c r="F120" s="759" t="s">
        <v>287</v>
      </c>
      <c r="G120" s="759" t="s">
        <v>397</v>
      </c>
      <c r="H120" s="81"/>
      <c r="I120" s="761" t="s">
        <v>276</v>
      </c>
      <c r="J120" s="758" t="s">
        <v>286</v>
      </c>
      <c r="K120" s="758" t="s">
        <v>277</v>
      </c>
      <c r="L120" s="758" t="s">
        <v>279</v>
      </c>
      <c r="M120" s="761" t="s">
        <v>397</v>
      </c>
      <c r="AG120" s="17" t="s">
        <v>0</v>
      </c>
      <c r="AJ120" s="193"/>
      <c r="AK120" s="270" t="s">
        <v>288</v>
      </c>
      <c r="AL120" s="271"/>
      <c r="AM120" s="272"/>
      <c r="AN120" s="193"/>
      <c r="AO120" s="193"/>
      <c r="AQ120" s="382"/>
      <c r="AR120" s="382"/>
      <c r="AS120" s="382"/>
      <c r="AT120" s="359" t="s">
        <v>303</v>
      </c>
      <c r="AU120" s="379"/>
      <c r="AV120" s="380"/>
      <c r="AW120" s="380"/>
      <c r="AX120" s="380"/>
      <c r="AY120" s="379"/>
      <c r="AZ120" s="380"/>
      <c r="BA120" s="380"/>
      <c r="BB120" s="369"/>
      <c r="BC120" s="358"/>
      <c r="BD120" s="358"/>
      <c r="BE120" s="199"/>
      <c r="BF120" s="199"/>
      <c r="BG120" s="199"/>
      <c r="BH120" s="199"/>
      <c r="BI120" s="199"/>
      <c r="BJ120" s="199"/>
      <c r="BK120" s="199"/>
      <c r="BL120" s="199"/>
      <c r="BM120" s="199"/>
      <c r="BN120" s="239"/>
    </row>
    <row r="121" spans="1:66" ht="45" x14ac:dyDescent="0.25">
      <c r="B121" s="759"/>
      <c r="C121" s="759"/>
      <c r="D121" s="759"/>
      <c r="E121" s="759"/>
      <c r="F121" s="760"/>
      <c r="G121" s="760"/>
      <c r="H121" s="81"/>
      <c r="I121" s="759"/>
      <c r="J121" s="759"/>
      <c r="K121" s="759"/>
      <c r="L121" s="759"/>
      <c r="M121" s="759"/>
      <c r="AG121" s="17" t="s">
        <v>0</v>
      </c>
      <c r="AJ121" s="193"/>
      <c r="AK121" s="276" t="s">
        <v>289</v>
      </c>
      <c r="AL121" s="277" t="s">
        <v>290</v>
      </c>
      <c r="AM121" s="278" t="s">
        <v>291</v>
      </c>
      <c r="AN121" s="193"/>
      <c r="AO121" s="193"/>
      <c r="AQ121" s="383"/>
      <c r="AR121" s="383"/>
      <c r="AS121" s="384"/>
      <c r="AT121" s="356" t="s">
        <v>301</v>
      </c>
      <c r="AU121" s="273">
        <v>0</v>
      </c>
      <c r="AV121" s="274">
        <v>1</v>
      </c>
      <c r="AW121" s="274">
        <v>2</v>
      </c>
      <c r="AX121" s="274">
        <v>3</v>
      </c>
      <c r="AY121" s="273">
        <v>4</v>
      </c>
      <c r="AZ121" s="274">
        <v>5</v>
      </c>
      <c r="BA121" s="275">
        <v>6</v>
      </c>
      <c r="BB121" s="369"/>
      <c r="BC121" s="358"/>
      <c r="BD121" s="358"/>
      <c r="BE121" s="199"/>
      <c r="BF121" s="199"/>
      <c r="BG121" s="199"/>
      <c r="BH121" s="199"/>
      <c r="BI121" s="199"/>
      <c r="BJ121" s="199"/>
      <c r="BK121" s="199"/>
      <c r="BL121" s="199"/>
      <c r="BM121" s="199"/>
      <c r="BN121" s="239"/>
    </row>
    <row r="122" spans="1:66" x14ac:dyDescent="0.25">
      <c r="A122" s="238" t="str">
        <f t="shared" ref="A122:A151" si="28">IF(AND(B122&lt;&gt;"",D122&lt;&gt;"",C122&lt;&gt;""),ROW(A122)-ROW($A$121),"")</f>
        <v/>
      </c>
      <c r="B122" s="669"/>
      <c r="C122" s="670"/>
      <c r="D122" s="671"/>
      <c r="E122" s="671"/>
      <c r="F122" s="265" t="str">
        <f t="shared" ref="F122:F151" si="29">IF(D122&lt;&gt;"",C122*D122,"")</f>
        <v/>
      </c>
      <c r="G122" s="282" t="str">
        <f t="shared" ref="G122:G151" si="30">IF(A122&lt;&gt;"",(AK122+AL122*(MAX(1,D122)-(AM122-1)*5))*C122,"")</f>
        <v/>
      </c>
      <c r="H122" s="668" t="str">
        <f t="shared" ref="H122:H151" si="31">IF(AND(I122&lt;&gt;"",K122&lt;&gt;"",J122&lt;&gt;""),ROW(H122)-ROW($H$121),"")</f>
        <v/>
      </c>
      <c r="I122" s="669"/>
      <c r="J122" s="670"/>
      <c r="K122" s="671"/>
      <c r="L122" s="678"/>
      <c r="M122" s="282">
        <f t="shared" ref="M122:M151" si="32">IF(I122="unrated",J122,IF(L122="Type 1",J122*MIN(1,MAX(1,K122)*HLOOKUP(I122,$AU$113:$AX$114,2)),IF(L122="Type 2",J122*MIN(1,MAX(1,K122)*HLOOKUP(I122,$AU$117:$BA$118,2)),J122*MIN(1,MAX(1,K122)*HLOOKUP(I122,$AU$121:$BA$122,2)))))</f>
        <v>0</v>
      </c>
      <c r="AG122" s="17" t="s">
        <v>0</v>
      </c>
      <c r="AJ122" s="193"/>
      <c r="AK122" s="347">
        <f t="shared" ref="AK122:AK151" si="33">IF(E122="No",INDEX($AU$96:$BB$100,AM122,VLOOKUP(B122,$AK$95:$AL$102,2)),IF(E122="Non-EEA sovereign",INDEX($BF$96:$BM$100,AM122,VLOOKUP(B122,$AK$95:$AL$102,2)),IF(AND(B122=0,D122&lt;=5),0,IF(AND(B122=0,D122&gt;5),0.035,IF(AND(B122=1,D122&lt;=5),0,IF(AND(B122=1,D122&gt;5),0.045,INDEX($AU$96:$BB$100,AM122,VLOOKUP(B122,$AK$95:$AL$102,2))))))))</f>
        <v>0</v>
      </c>
      <c r="AL122" s="347">
        <f t="shared" ref="AL122:AL151" si="34">IF(E122="No",INDEX($AU$104:$BB$108,AM122,VLOOKUP(B122,$AK$95:$AL$102,2)),IF(E122="Non-EEA sovereign",INDEX($BF$104:$BM$108,AM122,VLOOKUP(B122,$AK$95:$AL$102,2)),IF(AND(B122=0,D122&lt;=5),0.007,IF(AND(B122=0,D122&gt;5),0.005,IF(AND(B122=1,D122&lt;=5),0.009,IF(AND(B122=1,D122&gt;5),0.005,INDEX($BF$104:$BM$108,AM122,VLOOKUP(B122,$AK$95:$AL$102,2))))))))</f>
        <v>7.0000000000000001E-3</v>
      </c>
      <c r="AM122" s="348">
        <f t="shared" ref="AM122:AM151" si="35">IF(D122&gt;20,5,INT(D122/5)+1)</f>
        <v>1</v>
      </c>
      <c r="AN122" s="193"/>
      <c r="AO122" s="193"/>
      <c r="AQ122" s="383"/>
      <c r="AR122" s="383"/>
      <c r="AS122" s="384"/>
      <c r="AT122" s="357" t="s">
        <v>302</v>
      </c>
      <c r="AU122" s="279">
        <v>0.33</v>
      </c>
      <c r="AV122" s="280">
        <v>0.4</v>
      </c>
      <c r="AW122" s="280">
        <v>0.51</v>
      </c>
      <c r="AX122" s="280">
        <v>0.91</v>
      </c>
      <c r="AY122" s="279">
        <v>1</v>
      </c>
      <c r="AZ122" s="280">
        <v>1</v>
      </c>
      <c r="BA122" s="281">
        <v>1</v>
      </c>
      <c r="BB122" s="369"/>
      <c r="BC122" s="358"/>
      <c r="BD122" s="358"/>
      <c r="BE122" s="199"/>
      <c r="BF122" s="199"/>
      <c r="BG122" s="199"/>
      <c r="BH122" s="199"/>
      <c r="BI122" s="199"/>
      <c r="BJ122" s="199"/>
      <c r="BK122" s="199"/>
      <c r="BL122" s="199"/>
      <c r="BM122" s="199"/>
      <c r="BN122" s="239"/>
    </row>
    <row r="123" spans="1:66" x14ac:dyDescent="0.25">
      <c r="A123" s="238" t="str">
        <f t="shared" si="28"/>
        <v/>
      </c>
      <c r="B123" s="672"/>
      <c r="C123" s="673"/>
      <c r="D123" s="674"/>
      <c r="E123" s="674"/>
      <c r="F123" s="264" t="str">
        <f t="shared" si="29"/>
        <v/>
      </c>
      <c r="G123" s="283" t="str">
        <f t="shared" si="30"/>
        <v/>
      </c>
      <c r="H123" s="668" t="str">
        <f t="shared" si="31"/>
        <v/>
      </c>
      <c r="I123" s="672"/>
      <c r="J123" s="673"/>
      <c r="K123" s="679"/>
      <c r="L123" s="679"/>
      <c r="M123" s="283">
        <f t="shared" si="32"/>
        <v>0</v>
      </c>
      <c r="AG123" s="17" t="s">
        <v>0</v>
      </c>
      <c r="AJ123" s="193"/>
      <c r="AK123" s="347">
        <f t="shared" si="33"/>
        <v>0</v>
      </c>
      <c r="AL123" s="347">
        <f t="shared" si="34"/>
        <v>7.0000000000000001E-3</v>
      </c>
      <c r="AM123" s="348">
        <f t="shared" si="35"/>
        <v>1</v>
      </c>
      <c r="AN123" s="193"/>
      <c r="AO123" s="193"/>
      <c r="AQ123" s="383"/>
      <c r="AR123" s="383"/>
      <c r="AS123" s="384"/>
      <c r="AT123" s="193"/>
      <c r="AU123" s="193"/>
      <c r="AV123" s="193"/>
      <c r="AW123" s="193"/>
      <c r="AX123" s="193"/>
      <c r="AY123" s="193"/>
      <c r="AZ123" s="193"/>
      <c r="BA123" s="193"/>
      <c r="BB123" s="369"/>
      <c r="BC123" s="358"/>
      <c r="BD123" s="358"/>
      <c r="BE123" s="199"/>
      <c r="BF123" s="199"/>
      <c r="BG123" s="199"/>
      <c r="BH123" s="199"/>
      <c r="BI123" s="199"/>
      <c r="BJ123" s="199"/>
      <c r="BK123" s="199"/>
      <c r="BL123" s="199"/>
      <c r="BM123" s="199"/>
      <c r="BN123" s="239"/>
    </row>
    <row r="124" spans="1:66" x14ac:dyDescent="0.25">
      <c r="A124" s="238" t="str">
        <f t="shared" si="28"/>
        <v/>
      </c>
      <c r="B124" s="672"/>
      <c r="C124" s="673"/>
      <c r="D124" s="674"/>
      <c r="E124" s="674"/>
      <c r="F124" s="264" t="str">
        <f t="shared" si="29"/>
        <v/>
      </c>
      <c r="G124" s="283" t="str">
        <f t="shared" si="30"/>
        <v/>
      </c>
      <c r="H124" s="668" t="str">
        <f t="shared" si="31"/>
        <v/>
      </c>
      <c r="I124" s="672"/>
      <c r="J124" s="673"/>
      <c r="K124" s="679"/>
      <c r="L124" s="679"/>
      <c r="M124" s="283">
        <f t="shared" si="32"/>
        <v>0</v>
      </c>
      <c r="AG124" s="17" t="s">
        <v>0</v>
      </c>
      <c r="AJ124" s="193"/>
      <c r="AK124" s="347">
        <f t="shared" si="33"/>
        <v>0</v>
      </c>
      <c r="AL124" s="347">
        <f t="shared" si="34"/>
        <v>7.0000000000000001E-3</v>
      </c>
      <c r="AM124" s="348">
        <f t="shared" si="35"/>
        <v>1</v>
      </c>
      <c r="AN124" s="193"/>
      <c r="AO124" s="193"/>
      <c r="AQ124" s="383"/>
      <c r="AR124" s="383"/>
      <c r="AS124" s="384"/>
      <c r="AT124" s="193"/>
      <c r="AU124" s="193"/>
      <c r="AV124" s="193"/>
      <c r="AW124" s="193"/>
      <c r="AX124" s="193"/>
      <c r="AY124" s="193"/>
      <c r="AZ124" s="193"/>
      <c r="BA124" s="193"/>
      <c r="BB124" s="369"/>
      <c r="BC124" s="358"/>
      <c r="BD124" s="358"/>
      <c r="BE124" s="199"/>
      <c r="BF124" s="199"/>
      <c r="BG124" s="199"/>
      <c r="BH124" s="199"/>
      <c r="BI124" s="199"/>
      <c r="BJ124" s="199"/>
      <c r="BK124" s="199"/>
      <c r="BL124" s="199"/>
      <c r="BM124" s="199"/>
      <c r="BN124" s="239"/>
    </row>
    <row r="125" spans="1:66" x14ac:dyDescent="0.25">
      <c r="A125" s="238" t="str">
        <f t="shared" si="28"/>
        <v/>
      </c>
      <c r="B125" s="672"/>
      <c r="C125" s="673"/>
      <c r="D125" s="674"/>
      <c r="E125" s="674"/>
      <c r="F125" s="264" t="str">
        <f t="shared" si="29"/>
        <v/>
      </c>
      <c r="G125" s="283" t="str">
        <f t="shared" si="30"/>
        <v/>
      </c>
      <c r="H125" s="668" t="str">
        <f t="shared" si="31"/>
        <v/>
      </c>
      <c r="I125" s="672"/>
      <c r="J125" s="673"/>
      <c r="K125" s="679"/>
      <c r="L125" s="679"/>
      <c r="M125" s="283">
        <f t="shared" si="32"/>
        <v>0</v>
      </c>
      <c r="AG125" s="17" t="s">
        <v>0</v>
      </c>
      <c r="AJ125" s="193"/>
      <c r="AK125" s="347">
        <f t="shared" si="33"/>
        <v>0</v>
      </c>
      <c r="AL125" s="347">
        <f t="shared" si="34"/>
        <v>7.0000000000000001E-3</v>
      </c>
      <c r="AM125" s="348">
        <f t="shared" si="35"/>
        <v>1</v>
      </c>
      <c r="AN125" s="193"/>
      <c r="AO125" s="193"/>
      <c r="AQ125" s="383"/>
      <c r="AR125" s="383"/>
      <c r="AS125" s="384"/>
      <c r="AT125" s="193"/>
      <c r="AU125" s="193"/>
      <c r="AV125" s="193"/>
      <c r="AW125" s="193"/>
      <c r="AX125" s="193"/>
      <c r="AY125" s="193"/>
      <c r="AZ125" s="193"/>
      <c r="BA125" s="193"/>
      <c r="BB125" s="369"/>
      <c r="BC125" s="358"/>
      <c r="BD125" s="358"/>
      <c r="BE125" s="199"/>
      <c r="BF125" s="199"/>
      <c r="BG125" s="199"/>
      <c r="BH125" s="199"/>
      <c r="BI125" s="199"/>
      <c r="BJ125" s="199"/>
      <c r="BK125" s="199"/>
      <c r="BL125" s="199"/>
      <c r="BM125" s="199"/>
      <c r="BN125" s="239"/>
    </row>
    <row r="126" spans="1:66" x14ac:dyDescent="0.25">
      <c r="A126" s="238" t="str">
        <f t="shared" si="28"/>
        <v/>
      </c>
      <c r="B126" s="672"/>
      <c r="C126" s="673"/>
      <c r="D126" s="674"/>
      <c r="E126" s="674"/>
      <c r="F126" s="264" t="str">
        <f t="shared" si="29"/>
        <v/>
      </c>
      <c r="G126" s="283" t="str">
        <f t="shared" si="30"/>
        <v/>
      </c>
      <c r="H126" s="668" t="str">
        <f t="shared" si="31"/>
        <v/>
      </c>
      <c r="I126" s="672"/>
      <c r="J126" s="673"/>
      <c r="K126" s="679"/>
      <c r="L126" s="679"/>
      <c r="M126" s="283">
        <f t="shared" si="32"/>
        <v>0</v>
      </c>
      <c r="AG126" s="17" t="s">
        <v>0</v>
      </c>
      <c r="AJ126" s="193"/>
      <c r="AK126" s="347">
        <f t="shared" si="33"/>
        <v>0</v>
      </c>
      <c r="AL126" s="347">
        <f t="shared" si="34"/>
        <v>7.0000000000000001E-3</v>
      </c>
      <c r="AM126" s="348">
        <f t="shared" si="35"/>
        <v>1</v>
      </c>
      <c r="AN126" s="193"/>
      <c r="AO126" s="193"/>
      <c r="AQ126" s="199"/>
      <c r="AR126" s="199"/>
      <c r="AS126" s="199"/>
      <c r="BB126" s="369"/>
      <c r="BC126" s="199"/>
      <c r="BD126" s="199"/>
      <c r="BE126" s="199"/>
      <c r="BF126" s="199"/>
      <c r="BG126" s="199"/>
      <c r="BH126" s="199"/>
      <c r="BI126" s="199"/>
      <c r="BJ126" s="199"/>
      <c r="BK126" s="199"/>
      <c r="BL126" s="199"/>
      <c r="BM126" s="199"/>
      <c r="BN126" s="239"/>
    </row>
    <row r="127" spans="1:66" x14ac:dyDescent="0.25">
      <c r="A127" s="238" t="str">
        <f t="shared" si="28"/>
        <v/>
      </c>
      <c r="B127" s="672"/>
      <c r="C127" s="673"/>
      <c r="D127" s="674"/>
      <c r="E127" s="674"/>
      <c r="F127" s="264" t="str">
        <f t="shared" si="29"/>
        <v/>
      </c>
      <c r="G127" s="283" t="str">
        <f t="shared" si="30"/>
        <v/>
      </c>
      <c r="H127" s="668" t="str">
        <f t="shared" si="31"/>
        <v/>
      </c>
      <c r="I127" s="672"/>
      <c r="J127" s="673"/>
      <c r="K127" s="679"/>
      <c r="L127" s="679"/>
      <c r="M127" s="283">
        <f t="shared" si="32"/>
        <v>0</v>
      </c>
      <c r="AG127" s="17" t="s">
        <v>0</v>
      </c>
      <c r="AJ127" s="193"/>
      <c r="AK127" s="347">
        <f t="shared" si="33"/>
        <v>0</v>
      </c>
      <c r="AL127" s="347">
        <f t="shared" si="34"/>
        <v>7.0000000000000001E-3</v>
      </c>
      <c r="AM127" s="348">
        <f t="shared" si="35"/>
        <v>1</v>
      </c>
      <c r="AN127" s="193"/>
      <c r="AO127" s="193"/>
      <c r="AQ127" s="199"/>
      <c r="AR127" s="199"/>
      <c r="AS127" s="199"/>
      <c r="BB127" s="369"/>
      <c r="BC127" s="199"/>
      <c r="BD127" s="199"/>
      <c r="BE127" s="199"/>
      <c r="BF127" s="199"/>
      <c r="BG127" s="199"/>
      <c r="BH127" s="199"/>
      <c r="BI127" s="199"/>
      <c r="BJ127" s="199"/>
      <c r="BK127" s="199"/>
      <c r="BL127" s="199"/>
      <c r="BM127" s="199"/>
      <c r="BN127" s="239"/>
    </row>
    <row r="128" spans="1:66" x14ac:dyDescent="0.25">
      <c r="A128" s="238" t="str">
        <f t="shared" si="28"/>
        <v/>
      </c>
      <c r="B128" s="672"/>
      <c r="C128" s="673"/>
      <c r="D128" s="674"/>
      <c r="E128" s="674"/>
      <c r="F128" s="264" t="str">
        <f t="shared" si="29"/>
        <v/>
      </c>
      <c r="G128" s="283" t="str">
        <f t="shared" si="30"/>
        <v/>
      </c>
      <c r="H128" s="668" t="str">
        <f t="shared" si="31"/>
        <v/>
      </c>
      <c r="I128" s="672"/>
      <c r="J128" s="673"/>
      <c r="K128" s="679"/>
      <c r="L128" s="679"/>
      <c r="M128" s="283">
        <f t="shared" si="32"/>
        <v>0</v>
      </c>
      <c r="AG128" s="17" t="s">
        <v>0</v>
      </c>
      <c r="AJ128" s="193"/>
      <c r="AK128" s="347">
        <f t="shared" si="33"/>
        <v>0</v>
      </c>
      <c r="AL128" s="347">
        <f t="shared" si="34"/>
        <v>7.0000000000000001E-3</v>
      </c>
      <c r="AM128" s="348">
        <f t="shared" si="35"/>
        <v>1</v>
      </c>
      <c r="AN128" s="193"/>
      <c r="AO128" s="193"/>
    </row>
    <row r="129" spans="1:41" x14ac:dyDescent="0.25">
      <c r="A129" s="238" t="str">
        <f t="shared" si="28"/>
        <v/>
      </c>
      <c r="B129" s="672"/>
      <c r="C129" s="673"/>
      <c r="D129" s="674"/>
      <c r="E129" s="674"/>
      <c r="F129" s="264" t="str">
        <f t="shared" si="29"/>
        <v/>
      </c>
      <c r="G129" s="283" t="str">
        <f t="shared" si="30"/>
        <v/>
      </c>
      <c r="H129" s="668" t="str">
        <f t="shared" si="31"/>
        <v/>
      </c>
      <c r="I129" s="672"/>
      <c r="J129" s="673"/>
      <c r="K129" s="679"/>
      <c r="L129" s="679"/>
      <c r="M129" s="283">
        <f t="shared" si="32"/>
        <v>0</v>
      </c>
      <c r="AG129" s="17" t="s">
        <v>0</v>
      </c>
      <c r="AJ129" s="193"/>
      <c r="AK129" s="347">
        <f t="shared" si="33"/>
        <v>0</v>
      </c>
      <c r="AL129" s="347">
        <f t="shared" si="34"/>
        <v>7.0000000000000001E-3</v>
      </c>
      <c r="AM129" s="348">
        <f t="shared" si="35"/>
        <v>1</v>
      </c>
      <c r="AN129" s="193"/>
      <c r="AO129" s="193"/>
    </row>
    <row r="130" spans="1:41" x14ac:dyDescent="0.25">
      <c r="A130" s="238" t="str">
        <f t="shared" si="28"/>
        <v/>
      </c>
      <c r="B130" s="672"/>
      <c r="C130" s="673"/>
      <c r="D130" s="674"/>
      <c r="E130" s="674"/>
      <c r="F130" s="264" t="str">
        <f t="shared" si="29"/>
        <v/>
      </c>
      <c r="G130" s="283" t="str">
        <f t="shared" si="30"/>
        <v/>
      </c>
      <c r="H130" s="668" t="str">
        <f t="shared" si="31"/>
        <v/>
      </c>
      <c r="I130" s="672"/>
      <c r="J130" s="673"/>
      <c r="K130" s="679"/>
      <c r="L130" s="679"/>
      <c r="M130" s="283">
        <f t="shared" si="32"/>
        <v>0</v>
      </c>
      <c r="AG130" s="17" t="s">
        <v>0</v>
      </c>
      <c r="AJ130" s="193"/>
      <c r="AK130" s="347">
        <f t="shared" si="33"/>
        <v>0</v>
      </c>
      <c r="AL130" s="347">
        <f t="shared" si="34"/>
        <v>7.0000000000000001E-3</v>
      </c>
      <c r="AM130" s="348">
        <f t="shared" si="35"/>
        <v>1</v>
      </c>
      <c r="AN130" s="193"/>
      <c r="AO130" s="193"/>
    </row>
    <row r="131" spans="1:41" x14ac:dyDescent="0.25">
      <c r="A131" s="238" t="str">
        <f t="shared" si="28"/>
        <v/>
      </c>
      <c r="B131" s="672"/>
      <c r="C131" s="673"/>
      <c r="D131" s="674"/>
      <c r="E131" s="674"/>
      <c r="F131" s="264" t="str">
        <f t="shared" si="29"/>
        <v/>
      </c>
      <c r="G131" s="283" t="str">
        <f t="shared" si="30"/>
        <v/>
      </c>
      <c r="H131" s="668" t="str">
        <f t="shared" si="31"/>
        <v/>
      </c>
      <c r="I131" s="672"/>
      <c r="J131" s="673"/>
      <c r="K131" s="679"/>
      <c r="L131" s="679"/>
      <c r="M131" s="283">
        <f t="shared" si="32"/>
        <v>0</v>
      </c>
      <c r="AG131" s="17" t="s">
        <v>0</v>
      </c>
      <c r="AJ131" s="193"/>
      <c r="AK131" s="347">
        <f t="shared" si="33"/>
        <v>0</v>
      </c>
      <c r="AL131" s="347">
        <f t="shared" si="34"/>
        <v>7.0000000000000001E-3</v>
      </c>
      <c r="AM131" s="348">
        <f t="shared" si="35"/>
        <v>1</v>
      </c>
      <c r="AN131" s="193"/>
      <c r="AO131" s="193"/>
    </row>
    <row r="132" spans="1:41" x14ac:dyDescent="0.25">
      <c r="A132" s="238" t="str">
        <f t="shared" si="28"/>
        <v/>
      </c>
      <c r="B132" s="672"/>
      <c r="C132" s="673"/>
      <c r="D132" s="674"/>
      <c r="E132" s="674"/>
      <c r="F132" s="264" t="str">
        <f t="shared" si="29"/>
        <v/>
      </c>
      <c r="G132" s="283" t="str">
        <f t="shared" si="30"/>
        <v/>
      </c>
      <c r="H132" s="668" t="str">
        <f t="shared" si="31"/>
        <v/>
      </c>
      <c r="I132" s="672"/>
      <c r="J132" s="673"/>
      <c r="K132" s="679"/>
      <c r="L132" s="679"/>
      <c r="M132" s="283">
        <f t="shared" si="32"/>
        <v>0</v>
      </c>
      <c r="AG132" s="17" t="s">
        <v>0</v>
      </c>
      <c r="AJ132" s="193"/>
      <c r="AK132" s="347">
        <f t="shared" si="33"/>
        <v>0</v>
      </c>
      <c r="AL132" s="347">
        <f t="shared" si="34"/>
        <v>7.0000000000000001E-3</v>
      </c>
      <c r="AM132" s="348">
        <f t="shared" si="35"/>
        <v>1</v>
      </c>
      <c r="AN132" s="193"/>
      <c r="AO132" s="193"/>
    </row>
    <row r="133" spans="1:41" x14ac:dyDescent="0.25">
      <c r="A133" s="238" t="str">
        <f t="shared" si="28"/>
        <v/>
      </c>
      <c r="B133" s="672"/>
      <c r="C133" s="673"/>
      <c r="D133" s="674"/>
      <c r="E133" s="674"/>
      <c r="F133" s="264" t="str">
        <f t="shared" si="29"/>
        <v/>
      </c>
      <c r="G133" s="283" t="str">
        <f t="shared" si="30"/>
        <v/>
      </c>
      <c r="H133" s="668" t="str">
        <f t="shared" si="31"/>
        <v/>
      </c>
      <c r="I133" s="672"/>
      <c r="J133" s="673"/>
      <c r="K133" s="679"/>
      <c r="L133" s="679"/>
      <c r="M133" s="283">
        <f t="shared" si="32"/>
        <v>0</v>
      </c>
      <c r="AG133" s="17" t="s">
        <v>0</v>
      </c>
      <c r="AJ133" s="193"/>
      <c r="AK133" s="347">
        <f t="shared" si="33"/>
        <v>0</v>
      </c>
      <c r="AL133" s="347">
        <f t="shared" si="34"/>
        <v>7.0000000000000001E-3</v>
      </c>
      <c r="AM133" s="348">
        <f t="shared" si="35"/>
        <v>1</v>
      </c>
      <c r="AN133" s="193"/>
      <c r="AO133" s="193"/>
    </row>
    <row r="134" spans="1:41" x14ac:dyDescent="0.25">
      <c r="A134" s="238" t="str">
        <f t="shared" si="28"/>
        <v/>
      </c>
      <c r="B134" s="672"/>
      <c r="C134" s="673"/>
      <c r="D134" s="674"/>
      <c r="E134" s="674"/>
      <c r="F134" s="264" t="str">
        <f t="shared" si="29"/>
        <v/>
      </c>
      <c r="G134" s="283" t="str">
        <f t="shared" si="30"/>
        <v/>
      </c>
      <c r="H134" s="668" t="str">
        <f t="shared" si="31"/>
        <v/>
      </c>
      <c r="I134" s="672"/>
      <c r="J134" s="673"/>
      <c r="K134" s="679"/>
      <c r="L134" s="679"/>
      <c r="M134" s="283">
        <f t="shared" si="32"/>
        <v>0</v>
      </c>
      <c r="AG134" s="17" t="s">
        <v>0</v>
      </c>
      <c r="AJ134" s="193"/>
      <c r="AK134" s="347">
        <f t="shared" si="33"/>
        <v>0</v>
      </c>
      <c r="AL134" s="347">
        <f t="shared" si="34"/>
        <v>7.0000000000000001E-3</v>
      </c>
      <c r="AM134" s="348">
        <f t="shared" si="35"/>
        <v>1</v>
      </c>
      <c r="AN134" s="193"/>
      <c r="AO134" s="193"/>
    </row>
    <row r="135" spans="1:41" x14ac:dyDescent="0.25">
      <c r="A135" s="238" t="str">
        <f t="shared" si="28"/>
        <v/>
      </c>
      <c r="B135" s="672"/>
      <c r="C135" s="673"/>
      <c r="D135" s="674"/>
      <c r="E135" s="674"/>
      <c r="F135" s="264" t="str">
        <f t="shared" si="29"/>
        <v/>
      </c>
      <c r="G135" s="283" t="str">
        <f t="shared" si="30"/>
        <v/>
      </c>
      <c r="H135" s="668" t="str">
        <f t="shared" si="31"/>
        <v/>
      </c>
      <c r="I135" s="672"/>
      <c r="J135" s="673"/>
      <c r="K135" s="679"/>
      <c r="L135" s="679"/>
      <c r="M135" s="283">
        <f t="shared" si="32"/>
        <v>0</v>
      </c>
      <c r="AG135" s="17" t="s">
        <v>0</v>
      </c>
      <c r="AJ135" s="193"/>
      <c r="AK135" s="347">
        <f t="shared" si="33"/>
        <v>0</v>
      </c>
      <c r="AL135" s="347">
        <f t="shared" si="34"/>
        <v>7.0000000000000001E-3</v>
      </c>
      <c r="AM135" s="348">
        <f t="shared" si="35"/>
        <v>1</v>
      </c>
      <c r="AN135" s="193"/>
      <c r="AO135" s="193"/>
    </row>
    <row r="136" spans="1:41" x14ac:dyDescent="0.25">
      <c r="A136" s="238" t="str">
        <f t="shared" si="28"/>
        <v/>
      </c>
      <c r="B136" s="672"/>
      <c r="C136" s="673"/>
      <c r="D136" s="674"/>
      <c r="E136" s="674"/>
      <c r="F136" s="264" t="str">
        <f t="shared" si="29"/>
        <v/>
      </c>
      <c r="G136" s="283" t="str">
        <f t="shared" si="30"/>
        <v/>
      </c>
      <c r="H136" s="668" t="str">
        <f t="shared" si="31"/>
        <v/>
      </c>
      <c r="I136" s="672"/>
      <c r="J136" s="673"/>
      <c r="K136" s="679"/>
      <c r="L136" s="679"/>
      <c r="M136" s="283">
        <f t="shared" si="32"/>
        <v>0</v>
      </c>
      <c r="AG136" s="17" t="s">
        <v>0</v>
      </c>
      <c r="AJ136" s="193"/>
      <c r="AK136" s="347">
        <f t="shared" si="33"/>
        <v>0</v>
      </c>
      <c r="AL136" s="347">
        <f t="shared" si="34"/>
        <v>7.0000000000000001E-3</v>
      </c>
      <c r="AM136" s="348">
        <f t="shared" si="35"/>
        <v>1</v>
      </c>
      <c r="AN136" s="193"/>
      <c r="AO136" s="193"/>
    </row>
    <row r="137" spans="1:41" x14ac:dyDescent="0.25">
      <c r="A137" s="238" t="str">
        <f t="shared" si="28"/>
        <v/>
      </c>
      <c r="B137" s="672"/>
      <c r="C137" s="673"/>
      <c r="D137" s="674"/>
      <c r="E137" s="674"/>
      <c r="F137" s="264" t="str">
        <f t="shared" si="29"/>
        <v/>
      </c>
      <c r="G137" s="283" t="str">
        <f t="shared" si="30"/>
        <v/>
      </c>
      <c r="H137" s="668" t="str">
        <f t="shared" si="31"/>
        <v/>
      </c>
      <c r="I137" s="672"/>
      <c r="J137" s="673"/>
      <c r="K137" s="679"/>
      <c r="L137" s="679"/>
      <c r="M137" s="283">
        <f t="shared" si="32"/>
        <v>0</v>
      </c>
      <c r="AG137" s="17" t="s">
        <v>0</v>
      </c>
      <c r="AJ137" s="193"/>
      <c r="AK137" s="347">
        <f t="shared" si="33"/>
        <v>0</v>
      </c>
      <c r="AL137" s="347">
        <f t="shared" si="34"/>
        <v>7.0000000000000001E-3</v>
      </c>
      <c r="AM137" s="348">
        <f t="shared" si="35"/>
        <v>1</v>
      </c>
      <c r="AN137" s="193"/>
      <c r="AO137" s="193"/>
    </row>
    <row r="138" spans="1:41" x14ac:dyDescent="0.25">
      <c r="A138" s="238" t="str">
        <f t="shared" si="28"/>
        <v/>
      </c>
      <c r="B138" s="672"/>
      <c r="C138" s="673"/>
      <c r="D138" s="674"/>
      <c r="E138" s="674"/>
      <c r="F138" s="264" t="str">
        <f t="shared" si="29"/>
        <v/>
      </c>
      <c r="G138" s="283" t="str">
        <f t="shared" si="30"/>
        <v/>
      </c>
      <c r="H138" s="668" t="str">
        <f t="shared" si="31"/>
        <v/>
      </c>
      <c r="I138" s="672"/>
      <c r="J138" s="673"/>
      <c r="K138" s="679"/>
      <c r="L138" s="679"/>
      <c r="M138" s="283">
        <f t="shared" si="32"/>
        <v>0</v>
      </c>
      <c r="AG138" s="17" t="s">
        <v>0</v>
      </c>
      <c r="AJ138" s="193"/>
      <c r="AK138" s="347">
        <f t="shared" si="33"/>
        <v>0</v>
      </c>
      <c r="AL138" s="347">
        <f t="shared" si="34"/>
        <v>7.0000000000000001E-3</v>
      </c>
      <c r="AM138" s="348">
        <f t="shared" si="35"/>
        <v>1</v>
      </c>
      <c r="AN138" s="193"/>
      <c r="AO138" s="193"/>
    </row>
    <row r="139" spans="1:41" x14ac:dyDescent="0.25">
      <c r="A139" s="238" t="str">
        <f t="shared" si="28"/>
        <v/>
      </c>
      <c r="B139" s="672"/>
      <c r="C139" s="673"/>
      <c r="D139" s="674"/>
      <c r="E139" s="674"/>
      <c r="F139" s="264" t="str">
        <f t="shared" si="29"/>
        <v/>
      </c>
      <c r="G139" s="283" t="str">
        <f t="shared" si="30"/>
        <v/>
      </c>
      <c r="H139" s="668" t="str">
        <f t="shared" si="31"/>
        <v/>
      </c>
      <c r="I139" s="672"/>
      <c r="J139" s="673"/>
      <c r="K139" s="679"/>
      <c r="L139" s="679"/>
      <c r="M139" s="283">
        <f t="shared" si="32"/>
        <v>0</v>
      </c>
      <c r="AG139" s="17" t="s">
        <v>0</v>
      </c>
      <c r="AJ139" s="193"/>
      <c r="AK139" s="347">
        <f t="shared" si="33"/>
        <v>0</v>
      </c>
      <c r="AL139" s="347">
        <f t="shared" si="34"/>
        <v>7.0000000000000001E-3</v>
      </c>
      <c r="AM139" s="348">
        <f t="shared" si="35"/>
        <v>1</v>
      </c>
      <c r="AN139" s="193"/>
      <c r="AO139" s="193"/>
    </row>
    <row r="140" spans="1:41" x14ac:dyDescent="0.25">
      <c r="A140" s="238" t="str">
        <f t="shared" si="28"/>
        <v/>
      </c>
      <c r="B140" s="672"/>
      <c r="C140" s="673"/>
      <c r="D140" s="674"/>
      <c r="E140" s="674"/>
      <c r="F140" s="264" t="str">
        <f t="shared" si="29"/>
        <v/>
      </c>
      <c r="G140" s="283" t="str">
        <f t="shared" si="30"/>
        <v/>
      </c>
      <c r="H140" s="668" t="str">
        <f t="shared" si="31"/>
        <v/>
      </c>
      <c r="I140" s="672"/>
      <c r="J140" s="673"/>
      <c r="K140" s="679"/>
      <c r="L140" s="679"/>
      <c r="M140" s="283">
        <f t="shared" si="32"/>
        <v>0</v>
      </c>
      <c r="AG140" s="17" t="s">
        <v>0</v>
      </c>
      <c r="AJ140" s="193"/>
      <c r="AK140" s="347">
        <f t="shared" si="33"/>
        <v>0</v>
      </c>
      <c r="AL140" s="347">
        <f t="shared" si="34"/>
        <v>7.0000000000000001E-3</v>
      </c>
      <c r="AM140" s="348">
        <f t="shared" si="35"/>
        <v>1</v>
      </c>
      <c r="AN140" s="193"/>
      <c r="AO140" s="193"/>
    </row>
    <row r="141" spans="1:41" x14ac:dyDescent="0.25">
      <c r="A141" s="238" t="str">
        <f t="shared" si="28"/>
        <v/>
      </c>
      <c r="B141" s="672"/>
      <c r="C141" s="673"/>
      <c r="D141" s="674"/>
      <c r="E141" s="674"/>
      <c r="F141" s="264" t="str">
        <f t="shared" si="29"/>
        <v/>
      </c>
      <c r="G141" s="283" t="str">
        <f t="shared" si="30"/>
        <v/>
      </c>
      <c r="H141" s="668" t="str">
        <f t="shared" si="31"/>
        <v/>
      </c>
      <c r="I141" s="672"/>
      <c r="J141" s="673"/>
      <c r="K141" s="679"/>
      <c r="L141" s="679"/>
      <c r="M141" s="283">
        <f t="shared" si="32"/>
        <v>0</v>
      </c>
      <c r="AG141" s="17" t="s">
        <v>0</v>
      </c>
      <c r="AJ141" s="193"/>
      <c r="AK141" s="347">
        <f t="shared" si="33"/>
        <v>0</v>
      </c>
      <c r="AL141" s="347">
        <f t="shared" si="34"/>
        <v>7.0000000000000001E-3</v>
      </c>
      <c r="AM141" s="348">
        <f t="shared" si="35"/>
        <v>1</v>
      </c>
      <c r="AN141" s="193"/>
      <c r="AO141" s="193"/>
    </row>
    <row r="142" spans="1:41" x14ac:dyDescent="0.25">
      <c r="A142" s="238" t="str">
        <f t="shared" si="28"/>
        <v/>
      </c>
      <c r="B142" s="672"/>
      <c r="C142" s="673"/>
      <c r="D142" s="674"/>
      <c r="E142" s="674"/>
      <c r="F142" s="264" t="str">
        <f t="shared" si="29"/>
        <v/>
      </c>
      <c r="G142" s="283" t="str">
        <f t="shared" si="30"/>
        <v/>
      </c>
      <c r="H142" s="668" t="str">
        <f t="shared" si="31"/>
        <v/>
      </c>
      <c r="I142" s="672"/>
      <c r="J142" s="673"/>
      <c r="K142" s="679"/>
      <c r="L142" s="679"/>
      <c r="M142" s="283">
        <f t="shared" si="32"/>
        <v>0</v>
      </c>
      <c r="AG142" s="17" t="s">
        <v>0</v>
      </c>
      <c r="AJ142" s="193"/>
      <c r="AK142" s="347">
        <f t="shared" si="33"/>
        <v>0</v>
      </c>
      <c r="AL142" s="347">
        <f t="shared" si="34"/>
        <v>7.0000000000000001E-3</v>
      </c>
      <c r="AM142" s="348">
        <f t="shared" si="35"/>
        <v>1</v>
      </c>
      <c r="AN142" s="193"/>
      <c r="AO142" s="193"/>
    </row>
    <row r="143" spans="1:41" x14ac:dyDescent="0.25">
      <c r="A143" s="238" t="str">
        <f t="shared" si="28"/>
        <v/>
      </c>
      <c r="B143" s="672"/>
      <c r="C143" s="673"/>
      <c r="D143" s="674"/>
      <c r="E143" s="674"/>
      <c r="F143" s="264" t="str">
        <f t="shared" si="29"/>
        <v/>
      </c>
      <c r="G143" s="283" t="str">
        <f t="shared" si="30"/>
        <v/>
      </c>
      <c r="H143" s="668" t="str">
        <f t="shared" si="31"/>
        <v/>
      </c>
      <c r="I143" s="672"/>
      <c r="J143" s="673"/>
      <c r="K143" s="679"/>
      <c r="L143" s="679"/>
      <c r="M143" s="283">
        <f t="shared" si="32"/>
        <v>0</v>
      </c>
      <c r="AG143" s="17" t="s">
        <v>0</v>
      </c>
      <c r="AJ143" s="193"/>
      <c r="AK143" s="347">
        <f t="shared" si="33"/>
        <v>0</v>
      </c>
      <c r="AL143" s="347">
        <f t="shared" si="34"/>
        <v>7.0000000000000001E-3</v>
      </c>
      <c r="AM143" s="348">
        <f t="shared" si="35"/>
        <v>1</v>
      </c>
      <c r="AN143" s="193"/>
      <c r="AO143" s="193"/>
    </row>
    <row r="144" spans="1:41" x14ac:dyDescent="0.25">
      <c r="A144" s="238" t="str">
        <f t="shared" si="28"/>
        <v/>
      </c>
      <c r="B144" s="672"/>
      <c r="C144" s="673"/>
      <c r="D144" s="674"/>
      <c r="E144" s="674"/>
      <c r="F144" s="264" t="str">
        <f t="shared" si="29"/>
        <v/>
      </c>
      <c r="G144" s="283" t="str">
        <f t="shared" si="30"/>
        <v/>
      </c>
      <c r="H144" s="668" t="str">
        <f t="shared" si="31"/>
        <v/>
      </c>
      <c r="I144" s="672"/>
      <c r="J144" s="673"/>
      <c r="K144" s="679"/>
      <c r="L144" s="679"/>
      <c r="M144" s="283">
        <f t="shared" si="32"/>
        <v>0</v>
      </c>
      <c r="AG144" s="17" t="s">
        <v>0</v>
      </c>
      <c r="AJ144" s="193"/>
      <c r="AK144" s="347">
        <f t="shared" si="33"/>
        <v>0</v>
      </c>
      <c r="AL144" s="347">
        <f t="shared" si="34"/>
        <v>7.0000000000000001E-3</v>
      </c>
      <c r="AM144" s="348">
        <f t="shared" si="35"/>
        <v>1</v>
      </c>
      <c r="AN144" s="193"/>
      <c r="AO144" s="193"/>
    </row>
    <row r="145" spans="1:41" x14ac:dyDescent="0.25">
      <c r="A145" s="238" t="str">
        <f t="shared" si="28"/>
        <v/>
      </c>
      <c r="B145" s="672"/>
      <c r="C145" s="673"/>
      <c r="D145" s="674"/>
      <c r="E145" s="674"/>
      <c r="F145" s="264" t="str">
        <f t="shared" si="29"/>
        <v/>
      </c>
      <c r="G145" s="283" t="str">
        <f t="shared" si="30"/>
        <v/>
      </c>
      <c r="H145" s="668" t="str">
        <f t="shared" si="31"/>
        <v/>
      </c>
      <c r="I145" s="672"/>
      <c r="J145" s="673"/>
      <c r="K145" s="679"/>
      <c r="L145" s="679"/>
      <c r="M145" s="283">
        <f t="shared" si="32"/>
        <v>0</v>
      </c>
      <c r="AG145" s="17" t="s">
        <v>0</v>
      </c>
      <c r="AJ145" s="193"/>
      <c r="AK145" s="347">
        <f t="shared" si="33"/>
        <v>0</v>
      </c>
      <c r="AL145" s="347">
        <f t="shared" si="34"/>
        <v>7.0000000000000001E-3</v>
      </c>
      <c r="AM145" s="348">
        <f t="shared" si="35"/>
        <v>1</v>
      </c>
      <c r="AN145" s="193"/>
      <c r="AO145" s="193"/>
    </row>
    <row r="146" spans="1:41" x14ac:dyDescent="0.25">
      <c r="A146" s="238" t="str">
        <f t="shared" si="28"/>
        <v/>
      </c>
      <c r="B146" s="672"/>
      <c r="C146" s="673"/>
      <c r="D146" s="674"/>
      <c r="E146" s="674"/>
      <c r="F146" s="264" t="str">
        <f t="shared" si="29"/>
        <v/>
      </c>
      <c r="G146" s="283" t="str">
        <f t="shared" si="30"/>
        <v/>
      </c>
      <c r="H146" s="668" t="str">
        <f t="shared" si="31"/>
        <v/>
      </c>
      <c r="I146" s="672"/>
      <c r="J146" s="673"/>
      <c r="K146" s="679"/>
      <c r="L146" s="679"/>
      <c r="M146" s="283">
        <f t="shared" si="32"/>
        <v>0</v>
      </c>
      <c r="AG146" s="17" t="s">
        <v>0</v>
      </c>
      <c r="AJ146" s="193"/>
      <c r="AK146" s="347">
        <f t="shared" si="33"/>
        <v>0</v>
      </c>
      <c r="AL146" s="347">
        <f t="shared" si="34"/>
        <v>7.0000000000000001E-3</v>
      </c>
      <c r="AM146" s="348">
        <f t="shared" si="35"/>
        <v>1</v>
      </c>
      <c r="AN146" s="193"/>
      <c r="AO146" s="193"/>
    </row>
    <row r="147" spans="1:41" x14ac:dyDescent="0.25">
      <c r="A147" s="238" t="str">
        <f t="shared" si="28"/>
        <v/>
      </c>
      <c r="B147" s="672"/>
      <c r="C147" s="673"/>
      <c r="D147" s="674"/>
      <c r="E147" s="674"/>
      <c r="F147" s="264" t="str">
        <f t="shared" si="29"/>
        <v/>
      </c>
      <c r="G147" s="283" t="str">
        <f t="shared" si="30"/>
        <v/>
      </c>
      <c r="H147" s="668" t="str">
        <f t="shared" si="31"/>
        <v/>
      </c>
      <c r="I147" s="672"/>
      <c r="J147" s="673"/>
      <c r="K147" s="679"/>
      <c r="L147" s="679"/>
      <c r="M147" s="283">
        <f t="shared" si="32"/>
        <v>0</v>
      </c>
      <c r="AG147" s="17" t="s">
        <v>0</v>
      </c>
      <c r="AJ147" s="193"/>
      <c r="AK147" s="347">
        <f t="shared" si="33"/>
        <v>0</v>
      </c>
      <c r="AL147" s="347">
        <f t="shared" si="34"/>
        <v>7.0000000000000001E-3</v>
      </c>
      <c r="AM147" s="348">
        <f t="shared" si="35"/>
        <v>1</v>
      </c>
      <c r="AN147" s="193"/>
      <c r="AO147" s="193"/>
    </row>
    <row r="148" spans="1:41" x14ac:dyDescent="0.25">
      <c r="A148" s="238" t="str">
        <f t="shared" si="28"/>
        <v/>
      </c>
      <c r="B148" s="672"/>
      <c r="C148" s="673"/>
      <c r="D148" s="674"/>
      <c r="E148" s="674"/>
      <c r="F148" s="264" t="str">
        <f t="shared" si="29"/>
        <v/>
      </c>
      <c r="G148" s="283" t="str">
        <f t="shared" si="30"/>
        <v/>
      </c>
      <c r="H148" s="668" t="str">
        <f t="shared" si="31"/>
        <v/>
      </c>
      <c r="I148" s="672"/>
      <c r="J148" s="673"/>
      <c r="K148" s="679"/>
      <c r="L148" s="679"/>
      <c r="M148" s="283">
        <f t="shared" si="32"/>
        <v>0</v>
      </c>
      <c r="AG148" s="17" t="s">
        <v>0</v>
      </c>
      <c r="AJ148" s="193"/>
      <c r="AK148" s="347">
        <f t="shared" si="33"/>
        <v>0</v>
      </c>
      <c r="AL148" s="347">
        <f t="shared" si="34"/>
        <v>7.0000000000000001E-3</v>
      </c>
      <c r="AM148" s="348">
        <f t="shared" si="35"/>
        <v>1</v>
      </c>
      <c r="AN148" s="193"/>
      <c r="AO148" s="193"/>
    </row>
    <row r="149" spans="1:41" x14ac:dyDescent="0.25">
      <c r="A149" s="238" t="str">
        <f t="shared" si="28"/>
        <v/>
      </c>
      <c r="B149" s="672"/>
      <c r="C149" s="673"/>
      <c r="D149" s="674"/>
      <c r="E149" s="674"/>
      <c r="F149" s="264" t="str">
        <f t="shared" si="29"/>
        <v/>
      </c>
      <c r="G149" s="283" t="str">
        <f t="shared" si="30"/>
        <v/>
      </c>
      <c r="H149" s="668" t="str">
        <f t="shared" si="31"/>
        <v/>
      </c>
      <c r="I149" s="672"/>
      <c r="J149" s="673"/>
      <c r="K149" s="679"/>
      <c r="L149" s="679"/>
      <c r="M149" s="283">
        <f t="shared" si="32"/>
        <v>0</v>
      </c>
      <c r="AG149" s="17" t="s">
        <v>0</v>
      </c>
      <c r="AJ149" s="193"/>
      <c r="AK149" s="347">
        <f t="shared" si="33"/>
        <v>0</v>
      </c>
      <c r="AL149" s="347">
        <f t="shared" si="34"/>
        <v>7.0000000000000001E-3</v>
      </c>
      <c r="AM149" s="348">
        <f t="shared" si="35"/>
        <v>1</v>
      </c>
      <c r="AN149" s="193"/>
      <c r="AO149" s="193"/>
    </row>
    <row r="150" spans="1:41" x14ac:dyDescent="0.25">
      <c r="A150" s="238" t="str">
        <f t="shared" si="28"/>
        <v/>
      </c>
      <c r="B150" s="672"/>
      <c r="C150" s="673"/>
      <c r="D150" s="674"/>
      <c r="E150" s="674"/>
      <c r="F150" s="264" t="str">
        <f t="shared" si="29"/>
        <v/>
      </c>
      <c r="G150" s="283" t="str">
        <f t="shared" si="30"/>
        <v/>
      </c>
      <c r="H150" s="668" t="str">
        <f t="shared" si="31"/>
        <v/>
      </c>
      <c r="I150" s="672"/>
      <c r="J150" s="673"/>
      <c r="K150" s="679"/>
      <c r="L150" s="679"/>
      <c r="M150" s="283">
        <f t="shared" si="32"/>
        <v>0</v>
      </c>
      <c r="AG150" s="17" t="s">
        <v>0</v>
      </c>
      <c r="AJ150" s="193"/>
      <c r="AK150" s="347">
        <f t="shared" si="33"/>
        <v>0</v>
      </c>
      <c r="AL150" s="347">
        <f t="shared" si="34"/>
        <v>7.0000000000000001E-3</v>
      </c>
      <c r="AM150" s="348">
        <f t="shared" si="35"/>
        <v>1</v>
      </c>
      <c r="AN150" s="193"/>
      <c r="AO150" s="193"/>
    </row>
    <row r="151" spans="1:41" x14ac:dyDescent="0.25">
      <c r="A151" s="238" t="str">
        <f t="shared" si="28"/>
        <v/>
      </c>
      <c r="B151" s="675"/>
      <c r="C151" s="676"/>
      <c r="D151" s="677"/>
      <c r="E151" s="677"/>
      <c r="F151" s="266" t="str">
        <f t="shared" si="29"/>
        <v/>
      </c>
      <c r="G151" s="284" t="str">
        <f t="shared" si="30"/>
        <v/>
      </c>
      <c r="H151" s="668" t="str">
        <f t="shared" si="31"/>
        <v/>
      </c>
      <c r="I151" s="675"/>
      <c r="J151" s="676"/>
      <c r="K151" s="680"/>
      <c r="L151" s="680"/>
      <c r="M151" s="284">
        <f t="shared" si="32"/>
        <v>0</v>
      </c>
      <c r="AG151" s="17" t="s">
        <v>0</v>
      </c>
      <c r="AJ151" s="193"/>
      <c r="AK151" s="347">
        <f t="shared" si="33"/>
        <v>0</v>
      </c>
      <c r="AL151" s="347">
        <f t="shared" si="34"/>
        <v>7.0000000000000001E-3</v>
      </c>
      <c r="AM151" s="348">
        <f t="shared" si="35"/>
        <v>1</v>
      </c>
      <c r="AN151" s="193"/>
      <c r="AO151" s="193"/>
    </row>
    <row r="152" spans="1:41" x14ac:dyDescent="0.25">
      <c r="A152" s="238"/>
      <c r="B152" s="149"/>
      <c r="C152" s="78"/>
      <c r="D152" s="81"/>
      <c r="E152" s="81"/>
      <c r="F152" s="81"/>
      <c r="G152" s="81"/>
      <c r="H152" s="81"/>
      <c r="I152" s="81"/>
      <c r="J152" s="81"/>
      <c r="K152" s="81"/>
      <c r="L152" s="81"/>
      <c r="M152" s="49"/>
      <c r="AG152" s="17" t="s">
        <v>0</v>
      </c>
      <c r="AJ152" s="193"/>
      <c r="AK152" s="377"/>
      <c r="AL152" s="377"/>
      <c r="AM152" s="380"/>
      <c r="AN152" s="193"/>
      <c r="AO152" s="193"/>
    </row>
    <row r="153" spans="1:41" x14ac:dyDescent="0.25">
      <c r="B153" s="774" t="s">
        <v>482</v>
      </c>
      <c r="C153" s="775"/>
      <c r="D153" s="775"/>
      <c r="E153" s="775"/>
      <c r="F153" s="775"/>
      <c r="G153" s="776"/>
      <c r="H153" s="81"/>
      <c r="I153" s="81"/>
      <c r="J153" s="81"/>
      <c r="K153" s="81"/>
      <c r="L153" s="81"/>
      <c r="M153" s="58"/>
      <c r="N153"/>
      <c r="AG153" s="17" t="s">
        <v>0</v>
      </c>
      <c r="AJ153" s="193"/>
      <c r="AL153" s="377"/>
      <c r="AM153" s="380"/>
      <c r="AN153" s="193"/>
      <c r="AO153" s="193"/>
    </row>
    <row r="154" spans="1:41" x14ac:dyDescent="0.25">
      <c r="B154" s="759" t="s">
        <v>279</v>
      </c>
      <c r="C154" s="761" t="s">
        <v>286</v>
      </c>
      <c r="D154" s="761" t="s">
        <v>277</v>
      </c>
      <c r="E154" s="759" t="s">
        <v>475</v>
      </c>
      <c r="F154" s="149"/>
      <c r="G154" s="759" t="s">
        <v>397</v>
      </c>
      <c r="H154" s="81"/>
      <c r="I154" s="81"/>
      <c r="J154" s="81"/>
      <c r="K154" s="81"/>
      <c r="L154" s="81"/>
      <c r="M154" s="58"/>
      <c r="N154"/>
      <c r="AG154" s="17" t="s">
        <v>0</v>
      </c>
      <c r="AJ154" s="193"/>
      <c r="AL154" s="377"/>
      <c r="AM154" s="380"/>
      <c r="AN154" s="193"/>
      <c r="AO154" s="193"/>
    </row>
    <row r="155" spans="1:41" x14ac:dyDescent="0.25">
      <c r="B155" s="758"/>
      <c r="C155" s="761"/>
      <c r="D155" s="761"/>
      <c r="E155" s="758"/>
      <c r="F155" s="149"/>
      <c r="G155" s="758"/>
      <c r="H155" s="81"/>
      <c r="I155" s="81"/>
      <c r="J155" s="81"/>
      <c r="K155" s="81"/>
      <c r="L155" s="81"/>
      <c r="M155" s="58"/>
      <c r="N155"/>
      <c r="AG155" s="17" t="s">
        <v>0</v>
      </c>
      <c r="AJ155" s="193"/>
      <c r="AL155" s="377"/>
      <c r="AM155" s="380"/>
      <c r="AN155" s="193"/>
      <c r="AO155" s="193"/>
    </row>
    <row r="156" spans="1:41" x14ac:dyDescent="0.25">
      <c r="B156" s="674"/>
      <c r="C156" s="673"/>
      <c r="D156" s="674"/>
      <c r="E156" s="681"/>
      <c r="F156" s="149"/>
      <c r="G156" s="673"/>
      <c r="H156" s="81"/>
      <c r="I156" s="81"/>
      <c r="J156" s="81"/>
      <c r="K156" s="81"/>
      <c r="L156" s="81"/>
      <c r="M156" s="58"/>
      <c r="N156"/>
      <c r="AG156" s="17" t="s">
        <v>0</v>
      </c>
      <c r="AJ156" s="193"/>
      <c r="AK156" s="377" t="s">
        <v>483</v>
      </c>
      <c r="AL156" s="377"/>
      <c r="AM156" s="380"/>
      <c r="AN156" s="193"/>
      <c r="AO156" s="193"/>
    </row>
    <row r="157" spans="1:41" x14ac:dyDescent="0.25">
      <c r="B157" s="674"/>
      <c r="C157" s="673"/>
      <c r="D157" s="674"/>
      <c r="E157" s="681"/>
      <c r="F157" s="149"/>
      <c r="G157" s="673"/>
      <c r="H157" s="81"/>
      <c r="I157" s="81"/>
      <c r="J157" s="81"/>
      <c r="K157" s="81"/>
      <c r="L157" s="81"/>
      <c r="M157" s="58"/>
      <c r="N157"/>
      <c r="AG157" s="17" t="s">
        <v>0</v>
      </c>
      <c r="AJ157" s="193"/>
      <c r="AK157" s="377" t="s">
        <v>481</v>
      </c>
      <c r="AL157" s="377"/>
      <c r="AM157" s="380"/>
      <c r="AN157" s="193"/>
      <c r="AO157" s="193"/>
    </row>
    <row r="158" spans="1:41" x14ac:dyDescent="0.25">
      <c r="B158" s="674"/>
      <c r="C158" s="673"/>
      <c r="D158" s="674"/>
      <c r="E158" s="681"/>
      <c r="F158" s="149"/>
      <c r="G158" s="673"/>
      <c r="H158" s="81"/>
      <c r="I158" s="81"/>
      <c r="J158" s="81"/>
      <c r="K158" s="81"/>
      <c r="L158" s="81"/>
      <c r="M158" s="58"/>
      <c r="N158"/>
      <c r="AG158" s="17" t="s">
        <v>0</v>
      </c>
      <c r="AJ158" s="193"/>
      <c r="AK158" s="377" t="s">
        <v>480</v>
      </c>
      <c r="AL158" s="377"/>
      <c r="AM158" s="380"/>
      <c r="AN158" s="193"/>
      <c r="AO158" s="193"/>
    </row>
    <row r="159" spans="1:41" x14ac:dyDescent="0.25">
      <c r="B159" s="674"/>
      <c r="C159" s="673"/>
      <c r="D159" s="674"/>
      <c r="E159" s="681"/>
      <c r="F159" s="149"/>
      <c r="G159" s="673"/>
      <c r="H159" s="81"/>
      <c r="I159" s="81"/>
      <c r="J159" s="81"/>
      <c r="K159" s="81"/>
      <c r="L159" s="81"/>
      <c r="M159" s="58"/>
      <c r="N159"/>
      <c r="AG159" s="17" t="s">
        <v>0</v>
      </c>
      <c r="AJ159" s="193"/>
      <c r="AK159" s="377"/>
      <c r="AL159" s="377"/>
      <c r="AM159" s="380"/>
      <c r="AN159" s="193"/>
      <c r="AO159" s="193"/>
    </row>
    <row r="160" spans="1:41" x14ac:dyDescent="0.25">
      <c r="B160" s="677"/>
      <c r="C160" s="676"/>
      <c r="D160" s="677"/>
      <c r="E160" s="682"/>
      <c r="F160" s="149"/>
      <c r="G160" s="676"/>
      <c r="H160" s="81"/>
      <c r="I160" s="81"/>
      <c r="J160" s="81"/>
      <c r="K160" s="81"/>
      <c r="L160" s="81"/>
      <c r="M160" s="58"/>
      <c r="N160"/>
      <c r="AG160" s="17" t="s">
        <v>0</v>
      </c>
      <c r="AJ160" s="193"/>
      <c r="AK160" s="377"/>
      <c r="AL160" s="377"/>
      <c r="AM160" s="377"/>
      <c r="AN160" s="193"/>
      <c r="AO160" s="193"/>
    </row>
    <row r="161" spans="1:41" x14ac:dyDescent="0.25">
      <c r="B161" s="149"/>
      <c r="C161" s="81"/>
      <c r="D161" s="81"/>
      <c r="E161" s="81"/>
      <c r="F161" s="81"/>
      <c r="G161" s="81"/>
      <c r="H161" s="81"/>
      <c r="I161" s="81"/>
      <c r="J161" s="81"/>
      <c r="K161" s="81"/>
      <c r="L161" s="81"/>
      <c r="M161" s="58"/>
      <c r="N161"/>
      <c r="AG161" s="17" t="s">
        <v>0</v>
      </c>
      <c r="AJ161" s="193"/>
      <c r="AK161" s="457"/>
      <c r="AL161" s="377"/>
      <c r="AM161" s="380"/>
      <c r="AN161" s="193"/>
      <c r="AO161" s="193"/>
    </row>
    <row r="162" spans="1:41" x14ac:dyDescent="0.25">
      <c r="A162" s="551" t="s">
        <v>584</v>
      </c>
      <c r="B162" s="774" t="s">
        <v>479</v>
      </c>
      <c r="C162" s="775"/>
      <c r="D162" s="775"/>
      <c r="E162" s="775"/>
      <c r="F162" s="775"/>
      <c r="G162" s="776"/>
      <c r="H162" s="81"/>
      <c r="I162" s="81"/>
      <c r="J162" s="81"/>
      <c r="K162" s="81"/>
      <c r="L162" s="81"/>
      <c r="M162" s="58"/>
      <c r="N162"/>
      <c r="AG162" s="17" t="s">
        <v>0</v>
      </c>
      <c r="AJ162" s="193"/>
      <c r="AK162" s="457"/>
      <c r="AL162" s="377"/>
      <c r="AM162" s="380"/>
      <c r="AN162" s="193"/>
      <c r="AO162" s="193"/>
    </row>
    <row r="163" spans="1:41" x14ac:dyDescent="0.25">
      <c r="B163" s="149"/>
      <c r="C163" s="758" t="s">
        <v>286</v>
      </c>
      <c r="D163" s="758" t="s">
        <v>277</v>
      </c>
      <c r="E163" s="759" t="s">
        <v>478</v>
      </c>
      <c r="F163" s="759" t="s">
        <v>376</v>
      </c>
      <c r="G163" s="759" t="s">
        <v>397</v>
      </c>
      <c r="H163" s="81"/>
      <c r="I163" s="81"/>
      <c r="J163" s="81"/>
      <c r="K163" s="81"/>
      <c r="L163" s="81"/>
      <c r="M163" s="58"/>
      <c r="N163"/>
      <c r="AG163" s="17" t="s">
        <v>0</v>
      </c>
      <c r="AJ163" s="193"/>
      <c r="AK163" s="457"/>
      <c r="AL163" s="377"/>
      <c r="AM163" s="380"/>
      <c r="AN163" s="193"/>
      <c r="AO163" s="193"/>
    </row>
    <row r="164" spans="1:41" x14ac:dyDescent="0.25">
      <c r="B164" s="149"/>
      <c r="C164" s="759"/>
      <c r="D164" s="759"/>
      <c r="E164" s="760"/>
      <c r="F164" s="760"/>
      <c r="G164" s="760"/>
      <c r="H164" s="81"/>
      <c r="I164" s="81"/>
      <c r="J164" s="81"/>
      <c r="K164" s="81"/>
      <c r="L164" s="81"/>
      <c r="M164" s="58"/>
      <c r="N164"/>
      <c r="AG164" s="17" t="s">
        <v>0</v>
      </c>
      <c r="AJ164" s="193"/>
      <c r="AK164" s="457"/>
      <c r="AL164" s="377"/>
      <c r="AM164" s="380"/>
      <c r="AN164" s="193"/>
      <c r="AO164" s="193"/>
    </row>
    <row r="165" spans="1:41" x14ac:dyDescent="0.25">
      <c r="B165" s="149"/>
      <c r="C165" s="670"/>
      <c r="D165" s="671"/>
      <c r="E165" s="454" t="str">
        <f>IF(D165="","",IF(D165&lt;=5,0,IF(D165&lt;=10,37.5%,IF(D165&lt;=15,58.5%,IF(D165&lt;=20,61%,63.5%)))))</f>
        <v/>
      </c>
      <c r="F165" s="454" t="str">
        <f>IF(D165="","",IF(D165&lt;=5,7.5%,IF(D165&lt;=10,4.2%,0.5%)))</f>
        <v/>
      </c>
      <c r="G165" s="282" t="str">
        <f>IF(D165="","",C165*IF(D165&lt;=5,F165*MAX(D165,1),IF(D165&lt;=10,E165+F165*(D165-5),IF(F165&lt;=15,E165+F165*(D165-10),IF(F165&lt;=20,E165+F165*(D165-15),MIN(E165+F165*(D165-20),1))))))</f>
        <v/>
      </c>
      <c r="H165" s="81"/>
      <c r="I165" s="81"/>
      <c r="J165" s="81"/>
      <c r="K165" s="81"/>
      <c r="L165" s="81"/>
      <c r="M165" s="58"/>
      <c r="N165"/>
      <c r="AG165" s="17" t="s">
        <v>0</v>
      </c>
      <c r="AJ165" s="193"/>
      <c r="AK165" s="457"/>
      <c r="AL165" s="377"/>
      <c r="AM165" s="380"/>
      <c r="AN165" s="193"/>
      <c r="AO165" s="193"/>
    </row>
    <row r="166" spans="1:41" x14ac:dyDescent="0.25">
      <c r="B166" s="149"/>
      <c r="C166" s="673"/>
      <c r="D166" s="674"/>
      <c r="E166" s="455" t="str">
        <f t="shared" ref="E166:E169" si="36">IF(D166="","",IF(D166&lt;=5,0,IF(D166&lt;=10,37.5%,IF(D166&lt;=15,58.5%,IF(D166&lt;=20,61%,63.5%)))))</f>
        <v/>
      </c>
      <c r="F166" s="455" t="str">
        <f>IF(D166="","",IF(D166&lt;=5,7.5%,IF(D166&lt;=10,4.2%,0.5%)))</f>
        <v/>
      </c>
      <c r="G166" s="283" t="str">
        <f t="shared" ref="G166:G169" si="37">IF(D166="","",C166*IF(D166&lt;=5,F166*MAX(D166,1),IF(D166&lt;=10,E166+F166*(D166-5),IF(F166&lt;=15,E166+F166*(D166-10),IF(F166&lt;=20,E166+F166*(D166-15),MIN(E166+F166*(D166-20),1))))))</f>
        <v/>
      </c>
      <c r="H166" s="81"/>
      <c r="I166" s="81"/>
      <c r="J166" s="81"/>
      <c r="K166" s="81"/>
      <c r="L166" s="81"/>
      <c r="M166" s="58"/>
      <c r="N166"/>
      <c r="AG166" s="17" t="s">
        <v>0</v>
      </c>
      <c r="AJ166" s="193"/>
      <c r="AK166" s="377"/>
      <c r="AL166" s="377"/>
      <c r="AM166" s="380"/>
      <c r="AN166" s="193"/>
      <c r="AO166" s="193"/>
    </row>
    <row r="167" spans="1:41" x14ac:dyDescent="0.25">
      <c r="B167" s="149"/>
      <c r="C167" s="673"/>
      <c r="D167" s="674"/>
      <c r="E167" s="455" t="str">
        <f t="shared" si="36"/>
        <v/>
      </c>
      <c r="F167" s="455" t="str">
        <f>IF(D167="","",IF(D167&lt;=5,7.5%,IF(D167&lt;=10,4.2%,0.5%)))</f>
        <v/>
      </c>
      <c r="G167" s="283" t="str">
        <f t="shared" si="37"/>
        <v/>
      </c>
      <c r="H167" s="81"/>
      <c r="I167" s="81"/>
      <c r="J167" s="81"/>
      <c r="K167" s="81"/>
      <c r="L167" s="81"/>
      <c r="M167" s="58"/>
      <c r="N167"/>
      <c r="AG167" s="17" t="s">
        <v>0</v>
      </c>
      <c r="AJ167" s="193"/>
      <c r="AK167" s="377"/>
      <c r="AL167" s="377"/>
      <c r="AM167" s="380"/>
      <c r="AN167" s="193"/>
      <c r="AO167" s="193"/>
    </row>
    <row r="168" spans="1:41" x14ac:dyDescent="0.25">
      <c r="B168" s="149"/>
      <c r="C168" s="673"/>
      <c r="D168" s="674"/>
      <c r="E168" s="455" t="str">
        <f t="shared" si="36"/>
        <v/>
      </c>
      <c r="F168" s="455" t="str">
        <f>IF(D168="","",IF(D168&lt;=5,7.5%,IF(D168&lt;=10,4.2%,0.5%)))</f>
        <v/>
      </c>
      <c r="G168" s="283" t="str">
        <f t="shared" si="37"/>
        <v/>
      </c>
      <c r="H168" s="81"/>
      <c r="I168" s="81"/>
      <c r="J168" s="81"/>
      <c r="K168" s="81"/>
      <c r="L168" s="81"/>
      <c r="M168" s="58"/>
      <c r="N168"/>
      <c r="AG168" s="17" t="s">
        <v>0</v>
      </c>
      <c r="AJ168" s="193"/>
      <c r="AK168" s="377"/>
      <c r="AL168" s="377"/>
      <c r="AM168" s="380"/>
      <c r="AN168" s="193"/>
      <c r="AO168" s="193"/>
    </row>
    <row r="169" spans="1:41" x14ac:dyDescent="0.25">
      <c r="B169" s="149"/>
      <c r="C169" s="676"/>
      <c r="D169" s="677"/>
      <c r="E169" s="456" t="str">
        <f t="shared" si="36"/>
        <v/>
      </c>
      <c r="F169" s="456" t="str">
        <f>IF(D169="","",IF(D169&lt;=5,7.5%,IF(D169&lt;=10,4.2%,0.5%)))</f>
        <v/>
      </c>
      <c r="G169" s="284" t="str">
        <f t="shared" si="37"/>
        <v/>
      </c>
      <c r="H169" s="81"/>
      <c r="I169" s="81"/>
      <c r="J169" s="81"/>
      <c r="K169" s="81"/>
      <c r="L169" s="81"/>
      <c r="M169" s="58"/>
      <c r="N169"/>
      <c r="AG169" s="17" t="s">
        <v>0</v>
      </c>
      <c r="AJ169" s="193"/>
      <c r="AK169" s="377"/>
      <c r="AL169" s="377"/>
      <c r="AM169" s="380"/>
      <c r="AN169" s="193"/>
      <c r="AO169" s="193"/>
    </row>
    <row r="170" spans="1:41" x14ac:dyDescent="0.25">
      <c r="B170" s="149"/>
      <c r="C170" s="81"/>
      <c r="D170" s="81"/>
      <c r="E170" s="81"/>
      <c r="F170" s="81"/>
      <c r="G170" s="81"/>
      <c r="H170" s="81"/>
      <c r="I170" s="81"/>
      <c r="J170" s="81"/>
      <c r="K170" s="81"/>
      <c r="L170" s="81"/>
      <c r="M170" s="58"/>
      <c r="N170"/>
      <c r="AG170" s="17" t="s">
        <v>0</v>
      </c>
      <c r="AJ170" s="193"/>
      <c r="AK170" s="377"/>
      <c r="AL170" s="377"/>
      <c r="AM170" s="380"/>
      <c r="AN170" s="193"/>
      <c r="AO170" s="193"/>
    </row>
    <row r="171" spans="1:41" x14ac:dyDescent="0.25">
      <c r="B171" s="149"/>
      <c r="C171" s="81"/>
      <c r="D171" s="81"/>
      <c r="E171" s="81"/>
      <c r="F171" s="81"/>
      <c r="G171" s="81"/>
      <c r="H171" s="81"/>
      <c r="I171" s="81"/>
      <c r="J171" s="81"/>
      <c r="K171" s="81"/>
      <c r="L171" s="81"/>
      <c r="M171" s="58"/>
      <c r="N171"/>
      <c r="AG171" s="17" t="s">
        <v>0</v>
      </c>
      <c r="AJ171" s="193"/>
      <c r="AK171" s="377"/>
      <c r="AL171" s="377"/>
      <c r="AM171" s="380"/>
      <c r="AN171" s="193"/>
      <c r="AO171" s="193"/>
    </row>
    <row r="172" spans="1:41" x14ac:dyDescent="0.25">
      <c r="B172" s="149"/>
      <c r="C172" s="81"/>
      <c r="D172" s="81"/>
      <c r="E172" s="81"/>
      <c r="F172" s="81"/>
      <c r="G172" s="81"/>
      <c r="H172" s="81"/>
      <c r="I172" s="81"/>
      <c r="J172" s="81"/>
      <c r="K172" s="81"/>
      <c r="L172" s="81"/>
      <c r="M172" s="58"/>
      <c r="N172"/>
      <c r="AG172" s="17" t="s">
        <v>0</v>
      </c>
      <c r="AJ172" s="193"/>
      <c r="AK172" s="377"/>
      <c r="AL172" s="377"/>
      <c r="AM172" s="380"/>
      <c r="AN172" s="193"/>
      <c r="AO172" s="193"/>
    </row>
    <row r="173" spans="1:41" x14ac:dyDescent="0.25">
      <c r="A173" s="550" t="s">
        <v>535</v>
      </c>
      <c r="B173" s="766" t="s">
        <v>374</v>
      </c>
      <c r="C173" s="767"/>
      <c r="D173" s="767"/>
      <c r="E173" s="767"/>
      <c r="F173" s="768"/>
      <c r="G173" s="81"/>
      <c r="H173" s="81"/>
      <c r="I173" s="81"/>
      <c r="J173" s="81"/>
      <c r="K173" s="81"/>
      <c r="L173" s="81"/>
      <c r="M173" s="58"/>
      <c r="N173"/>
      <c r="AG173" s="17" t="s">
        <v>0</v>
      </c>
      <c r="AJ173" s="193"/>
      <c r="AK173" s="377"/>
      <c r="AL173" s="377"/>
      <c r="AM173" s="380"/>
      <c r="AN173" s="193"/>
      <c r="AO173" s="193"/>
    </row>
    <row r="174" spans="1:41" x14ac:dyDescent="0.25">
      <c r="B174" s="149"/>
      <c r="C174" s="81"/>
      <c r="D174" s="81"/>
      <c r="E174" s="81"/>
      <c r="F174" s="81"/>
      <c r="G174" s="81"/>
      <c r="H174" s="81"/>
      <c r="I174" s="81"/>
      <c r="J174" s="81"/>
      <c r="K174" s="81"/>
      <c r="L174" s="81"/>
      <c r="M174" s="58"/>
      <c r="N174"/>
      <c r="AG174" s="17" t="s">
        <v>0</v>
      </c>
      <c r="AJ174" s="193"/>
      <c r="AK174" s="377"/>
      <c r="AL174" s="377"/>
      <c r="AM174" s="380"/>
      <c r="AN174" s="193"/>
      <c r="AO174" s="193"/>
    </row>
    <row r="175" spans="1:41" ht="30" customHeight="1" x14ac:dyDescent="0.25">
      <c r="B175" s="756" t="s">
        <v>394</v>
      </c>
      <c r="C175" s="757"/>
      <c r="D175" s="757"/>
      <c r="E175" s="757"/>
      <c r="F175" s="666">
        <f>SUM(F178:F185)+SUM(C188)</f>
        <v>0</v>
      </c>
      <c r="G175" s="81"/>
      <c r="H175" s="81"/>
      <c r="I175" s="81"/>
      <c r="J175" s="81"/>
      <c r="K175" s="81"/>
      <c r="L175" s="81"/>
      <c r="M175" s="58"/>
      <c r="N175"/>
      <c r="AG175" s="17" t="s">
        <v>0</v>
      </c>
      <c r="AJ175" s="193"/>
      <c r="AK175" s="377"/>
      <c r="AL175" s="377"/>
      <c r="AM175" s="380"/>
      <c r="AN175" s="193"/>
      <c r="AO175" s="193"/>
    </row>
    <row r="176" spans="1:41" x14ac:dyDescent="0.25">
      <c r="B176" s="149"/>
      <c r="C176" s="81"/>
      <c r="D176" s="81"/>
      <c r="E176" s="81"/>
      <c r="F176" s="81"/>
      <c r="G176" s="81"/>
      <c r="H176" s="81"/>
      <c r="I176" s="81"/>
      <c r="J176" s="81"/>
      <c r="K176" s="81"/>
      <c r="L176" s="81"/>
      <c r="M176" s="58"/>
      <c r="N176"/>
      <c r="AG176" s="17" t="s">
        <v>0</v>
      </c>
      <c r="AJ176" s="193"/>
      <c r="AK176" s="377"/>
      <c r="AL176" s="377"/>
      <c r="AM176" s="380"/>
      <c r="AN176" s="193"/>
      <c r="AO176" s="193"/>
    </row>
    <row r="177" spans="2:41" ht="30" x14ac:dyDescent="0.25">
      <c r="B177" s="259" t="s">
        <v>276</v>
      </c>
      <c r="C177" s="410" t="s">
        <v>379</v>
      </c>
      <c r="D177" s="411" t="s">
        <v>277</v>
      </c>
      <c r="E177" s="411" t="s">
        <v>376</v>
      </c>
      <c r="F177" s="410" t="s">
        <v>393</v>
      </c>
      <c r="G177" s="81"/>
      <c r="H177" s="81"/>
      <c r="I177" s="81"/>
      <c r="J177" s="81"/>
      <c r="K177" s="81"/>
      <c r="L177" s="81"/>
      <c r="M177" s="58"/>
      <c r="N177"/>
      <c r="AG177" s="17" t="s">
        <v>0</v>
      </c>
      <c r="AJ177" s="193"/>
      <c r="AK177" s="377"/>
      <c r="AL177" s="377"/>
      <c r="AM177" s="380"/>
      <c r="AN177" s="193"/>
      <c r="AO177" s="193"/>
    </row>
    <row r="178" spans="2:41" x14ac:dyDescent="0.25">
      <c r="B178" s="416">
        <v>0</v>
      </c>
      <c r="C178" s="670"/>
      <c r="D178" s="683"/>
      <c r="E178" s="686">
        <v>8.9999999999999993E-3</v>
      </c>
      <c r="F178" s="589">
        <f>C178*MAX(D178,1)*E178</f>
        <v>0</v>
      </c>
      <c r="G178" s="81"/>
      <c r="H178" s="81"/>
      <c r="I178" s="81"/>
      <c r="J178" s="81"/>
      <c r="K178" s="81"/>
      <c r="L178" s="81"/>
      <c r="M178" s="58"/>
      <c r="N178"/>
      <c r="AG178" s="17" t="s">
        <v>0</v>
      </c>
      <c r="AJ178" s="193"/>
      <c r="AK178" s="377"/>
      <c r="AL178" s="377"/>
      <c r="AM178" s="380"/>
      <c r="AN178" s="193"/>
      <c r="AO178" s="193"/>
    </row>
    <row r="179" spans="2:41" x14ac:dyDescent="0.25">
      <c r="B179" s="416">
        <v>1</v>
      </c>
      <c r="C179" s="673"/>
      <c r="D179" s="684"/>
      <c r="E179" s="687">
        <v>1.0999999999999999E-2</v>
      </c>
      <c r="F179" s="622">
        <f t="shared" ref="F179:F185" si="38">C179*MAX(D179,1)*E179</f>
        <v>0</v>
      </c>
      <c r="G179" s="81"/>
      <c r="H179" s="81"/>
      <c r="I179" s="81"/>
      <c r="J179" s="81"/>
      <c r="K179" s="81"/>
      <c r="L179" s="81"/>
      <c r="M179" s="58"/>
      <c r="N179"/>
      <c r="AG179" s="17" t="s">
        <v>0</v>
      </c>
      <c r="AJ179" s="193"/>
      <c r="AK179" s="377"/>
      <c r="AL179" s="377"/>
      <c r="AM179" s="380"/>
      <c r="AN179" s="193"/>
      <c r="AO179" s="193"/>
    </row>
    <row r="180" spans="2:41" x14ac:dyDescent="0.25">
      <c r="B180" s="416">
        <v>2</v>
      </c>
      <c r="C180" s="673"/>
      <c r="D180" s="684"/>
      <c r="E180" s="687">
        <v>1.4E-2</v>
      </c>
      <c r="F180" s="622">
        <f t="shared" si="38"/>
        <v>0</v>
      </c>
      <c r="G180" s="81"/>
      <c r="H180" s="81"/>
      <c r="I180" s="81"/>
      <c r="J180" s="81"/>
      <c r="K180" s="81"/>
      <c r="L180" s="81"/>
      <c r="M180" s="58"/>
      <c r="N180"/>
      <c r="AG180" s="17" t="s">
        <v>0</v>
      </c>
      <c r="AJ180" s="193"/>
      <c r="AK180" s="377"/>
      <c r="AL180" s="377"/>
      <c r="AM180" s="380"/>
      <c r="AN180" s="193"/>
      <c r="AO180" s="193"/>
    </row>
    <row r="181" spans="2:41" x14ac:dyDescent="0.25">
      <c r="B181" s="416">
        <v>3</v>
      </c>
      <c r="C181" s="673"/>
      <c r="D181" s="684"/>
      <c r="E181" s="687">
        <v>2.5000000000000001E-2</v>
      </c>
      <c r="F181" s="622">
        <f t="shared" si="38"/>
        <v>0</v>
      </c>
      <c r="G181" s="81"/>
      <c r="H181" s="81"/>
      <c r="I181" s="81"/>
      <c r="J181" s="81"/>
      <c r="K181" s="81"/>
      <c r="L181" s="81"/>
      <c r="M181" s="58"/>
      <c r="N181"/>
      <c r="AG181" s="17" t="s">
        <v>0</v>
      </c>
      <c r="AJ181" s="193"/>
      <c r="AK181" s="377"/>
      <c r="AL181" s="377"/>
      <c r="AM181" s="380"/>
      <c r="AN181" s="193"/>
      <c r="AO181" s="193"/>
    </row>
    <row r="182" spans="2:41" x14ac:dyDescent="0.25">
      <c r="B182" s="416">
        <v>4</v>
      </c>
      <c r="C182" s="673"/>
      <c r="D182" s="684"/>
      <c r="E182" s="687">
        <v>4.4999999999999998E-2</v>
      </c>
      <c r="F182" s="622">
        <f t="shared" si="38"/>
        <v>0</v>
      </c>
      <c r="G182" s="81"/>
      <c r="H182" s="81"/>
      <c r="I182" s="81"/>
      <c r="J182" s="81"/>
      <c r="K182" s="81"/>
      <c r="L182" s="81"/>
      <c r="M182" s="58"/>
      <c r="N182"/>
      <c r="AG182" s="17" t="s">
        <v>0</v>
      </c>
      <c r="AJ182" s="193"/>
      <c r="AK182" s="377"/>
      <c r="AL182" s="377"/>
      <c r="AM182" s="380"/>
      <c r="AN182" s="193"/>
      <c r="AO182" s="193"/>
    </row>
    <row r="183" spans="2:41" x14ac:dyDescent="0.25">
      <c r="B183" s="416">
        <v>5</v>
      </c>
      <c r="C183" s="673"/>
      <c r="D183" s="684"/>
      <c r="E183" s="687">
        <v>7.4999999999999997E-2</v>
      </c>
      <c r="F183" s="622">
        <f t="shared" si="38"/>
        <v>0</v>
      </c>
      <c r="G183" s="81"/>
      <c r="H183" s="81"/>
      <c r="I183" s="81"/>
      <c r="J183" s="81"/>
      <c r="K183" s="81"/>
      <c r="L183" s="81"/>
      <c r="M183" s="58"/>
      <c r="N183"/>
      <c r="AG183" s="17" t="s">
        <v>0</v>
      </c>
      <c r="AJ183" s="193"/>
      <c r="AK183" s="377"/>
      <c r="AL183" s="377"/>
      <c r="AM183" s="380"/>
      <c r="AN183" s="193"/>
      <c r="AO183" s="193"/>
    </row>
    <row r="184" spans="2:41" x14ac:dyDescent="0.25">
      <c r="B184" s="416">
        <v>6</v>
      </c>
      <c r="C184" s="673"/>
      <c r="D184" s="684"/>
      <c r="E184" s="687">
        <v>7.4999999999999997E-2</v>
      </c>
      <c r="F184" s="622">
        <f t="shared" si="38"/>
        <v>0</v>
      </c>
      <c r="G184" s="81"/>
      <c r="H184" s="81"/>
      <c r="I184" s="81"/>
      <c r="J184" s="81"/>
      <c r="K184" s="81"/>
      <c r="L184" s="81"/>
      <c r="M184" s="58"/>
      <c r="N184"/>
      <c r="AG184" s="17" t="s">
        <v>0</v>
      </c>
      <c r="AJ184" s="193"/>
      <c r="AK184" s="377"/>
      <c r="AL184" s="377"/>
      <c r="AM184" s="380"/>
      <c r="AN184" s="193"/>
      <c r="AO184" s="193"/>
    </row>
    <row r="185" spans="2:41" x14ac:dyDescent="0.25">
      <c r="B185" s="417" t="s">
        <v>375</v>
      </c>
      <c r="C185" s="676"/>
      <c r="D185" s="685"/>
      <c r="E185" s="688">
        <v>0.03</v>
      </c>
      <c r="F185" s="625">
        <f t="shared" si="38"/>
        <v>0</v>
      </c>
      <c r="G185" s="81"/>
      <c r="H185" s="81"/>
      <c r="I185" s="81"/>
      <c r="J185" s="81"/>
      <c r="K185" s="81"/>
      <c r="L185" s="81"/>
      <c r="M185" s="58"/>
      <c r="N185"/>
      <c r="AG185" s="17" t="s">
        <v>0</v>
      </c>
      <c r="AK185" s="268"/>
      <c r="AL185" s="268"/>
      <c r="AM185" s="269"/>
    </row>
    <row r="186" spans="2:41" x14ac:dyDescent="0.25">
      <c r="B186" s="415" t="s">
        <v>377</v>
      </c>
      <c r="C186" s="621">
        <f>SUM(C178:C185)</f>
        <v>0</v>
      </c>
      <c r="D186" s="81"/>
      <c r="E186" s="81"/>
      <c r="F186" s="81"/>
      <c r="G186" s="81"/>
      <c r="H186" s="81"/>
      <c r="I186" s="81"/>
      <c r="J186" s="81"/>
      <c r="K186" s="81"/>
      <c r="L186" s="81"/>
      <c r="M186" s="58"/>
      <c r="N186"/>
      <c r="AG186" s="17" t="s">
        <v>0</v>
      </c>
      <c r="AK186" s="268"/>
      <c r="AL186" s="268"/>
      <c r="AM186" s="269"/>
    </row>
    <row r="187" spans="2:41" x14ac:dyDescent="0.25">
      <c r="B187" s="149"/>
      <c r="C187" s="81"/>
      <c r="D187" s="81"/>
      <c r="E187" s="81"/>
      <c r="F187" s="81"/>
      <c r="G187" s="81"/>
      <c r="H187" s="81"/>
      <c r="I187" s="81"/>
      <c r="J187" s="81"/>
      <c r="K187" s="81"/>
      <c r="L187" s="81"/>
      <c r="M187" s="58"/>
      <c r="N187"/>
      <c r="AG187" s="17" t="s">
        <v>0</v>
      </c>
      <c r="AK187" s="268"/>
      <c r="AL187" s="268"/>
      <c r="AM187" s="269"/>
    </row>
    <row r="188" spans="2:41" x14ac:dyDescent="0.25">
      <c r="B188" s="418" t="s">
        <v>378</v>
      </c>
      <c r="C188" s="689" t="s">
        <v>5</v>
      </c>
      <c r="D188" s="81"/>
      <c r="E188" s="81"/>
      <c r="F188" s="81"/>
      <c r="G188" s="81"/>
      <c r="H188" s="81"/>
      <c r="I188" s="81"/>
      <c r="J188" s="81"/>
      <c r="K188" s="81"/>
      <c r="L188" s="81"/>
      <c r="M188" s="58"/>
      <c r="N188"/>
      <c r="AG188" s="17" t="s">
        <v>0</v>
      </c>
      <c r="AK188" s="268"/>
      <c r="AL188" s="268"/>
      <c r="AM188" s="269"/>
    </row>
    <row r="189" spans="2:41" x14ac:dyDescent="0.25">
      <c r="B189" s="79"/>
      <c r="C189" s="80"/>
      <c r="D189" s="80"/>
      <c r="E189" s="80"/>
      <c r="F189" s="80"/>
      <c r="G189" s="80"/>
      <c r="H189" s="80"/>
      <c r="I189" s="80"/>
      <c r="J189" s="80"/>
      <c r="K189" s="80"/>
      <c r="L189" s="80"/>
      <c r="M189" s="50"/>
      <c r="N189"/>
      <c r="AG189" s="17" t="s">
        <v>0</v>
      </c>
      <c r="AK189" s="268"/>
      <c r="AL189" s="268"/>
      <c r="AM189" s="269"/>
    </row>
    <row r="190" spans="2:41" x14ac:dyDescent="0.25">
      <c r="B190"/>
      <c r="C190"/>
      <c r="D190"/>
      <c r="E190"/>
      <c r="F190"/>
      <c r="G190"/>
      <c r="H190"/>
      <c r="I190"/>
      <c r="J190"/>
      <c r="K190"/>
      <c r="L190"/>
      <c r="M190"/>
      <c r="N190"/>
      <c r="AG190" s="17" t="s">
        <v>0</v>
      </c>
      <c r="AK190" s="268"/>
      <c r="AL190" s="268"/>
      <c r="AM190" s="269"/>
    </row>
    <row r="191" spans="2:41" x14ac:dyDescent="0.25">
      <c r="G191"/>
      <c r="H191"/>
      <c r="I191"/>
      <c r="J191"/>
      <c r="K191"/>
      <c r="L191"/>
      <c r="M191"/>
      <c r="N191"/>
      <c r="AG191" s="17" t="s">
        <v>0</v>
      </c>
      <c r="AK191" s="268"/>
      <c r="AL191" s="268"/>
      <c r="AM191" s="269"/>
    </row>
    <row r="192" spans="2:41" x14ac:dyDescent="0.25">
      <c r="B192"/>
      <c r="C192"/>
      <c r="D192"/>
      <c r="E192"/>
      <c r="F192"/>
      <c r="G192"/>
      <c r="H192"/>
      <c r="I192"/>
      <c r="J192"/>
      <c r="K192"/>
      <c r="L192"/>
      <c r="M192"/>
      <c r="N192"/>
      <c r="AG192" s="17" t="s">
        <v>0</v>
      </c>
      <c r="AK192" s="268"/>
      <c r="AL192" s="268"/>
      <c r="AM192" s="269"/>
    </row>
    <row r="193" spans="2:39" x14ac:dyDescent="0.25">
      <c r="B193" s="762" t="s">
        <v>246</v>
      </c>
      <c r="C193" s="771"/>
      <c r="D193" s="771"/>
      <c r="E193" s="771"/>
      <c r="F193" s="771"/>
      <c r="G193" s="771"/>
      <c r="H193" s="771"/>
      <c r="I193" s="771"/>
      <c r="J193" s="771"/>
      <c r="K193" s="771"/>
      <c r="L193" s="771"/>
      <c r="M193" s="771"/>
      <c r="N193" s="763"/>
      <c r="AG193" s="17" t="s">
        <v>0</v>
      </c>
      <c r="AK193" s="268"/>
      <c r="AL193" s="268"/>
      <c r="AM193" s="269"/>
    </row>
    <row r="194" spans="2:39" x14ac:dyDescent="0.25">
      <c r="B194" s="77"/>
      <c r="C194" s="78"/>
      <c r="D194" s="227"/>
      <c r="E194" s="78"/>
      <c r="F194" s="78"/>
      <c r="G194" s="78"/>
      <c r="H194" s="78"/>
      <c r="I194" s="78"/>
      <c r="J194" s="78"/>
      <c r="K194" s="78"/>
      <c r="L194" s="78"/>
      <c r="M194" s="78"/>
      <c r="N194" s="49"/>
      <c r="AG194" s="17" t="s">
        <v>0</v>
      </c>
      <c r="AK194" s="268"/>
      <c r="AL194" s="268"/>
      <c r="AM194" s="269"/>
    </row>
    <row r="195" spans="2:39" x14ac:dyDescent="0.25">
      <c r="B195" s="79"/>
      <c r="C195" s="81"/>
      <c r="D195" s="209" t="s">
        <v>247</v>
      </c>
      <c r="E195" s="81"/>
      <c r="F195" s="81"/>
      <c r="G195" s="81"/>
      <c r="H195" s="81"/>
      <c r="I195" s="81"/>
      <c r="J195" s="81"/>
      <c r="K195" s="81"/>
      <c r="L195" s="81"/>
      <c r="M195" s="81"/>
      <c r="N195" s="58"/>
      <c r="AG195" s="17" t="s">
        <v>0</v>
      </c>
      <c r="AK195" s="268"/>
      <c r="AL195" s="268"/>
      <c r="AM195" s="269"/>
    </row>
    <row r="196" spans="2:39" ht="18" x14ac:dyDescent="0.35">
      <c r="B196" s="209" t="s">
        <v>456</v>
      </c>
      <c r="C196" s="666">
        <f>SQRT(SUM(C197:C201))</f>
        <v>0</v>
      </c>
      <c r="D196" s="690">
        <f>SUM(D197:D201)</f>
        <v>0</v>
      </c>
      <c r="E196" s="81"/>
      <c r="F196" s="81"/>
      <c r="G196" s="81"/>
      <c r="H196" s="81"/>
      <c r="I196" s="81"/>
      <c r="J196" s="81"/>
      <c r="K196" s="81"/>
      <c r="L196" s="81"/>
      <c r="M196" s="81"/>
      <c r="N196" s="58"/>
      <c r="AG196" s="17" t="s">
        <v>0</v>
      </c>
      <c r="AK196" s="268"/>
      <c r="AL196" s="268"/>
      <c r="AM196" s="269"/>
    </row>
    <row r="197" spans="2:39" ht="18.75" x14ac:dyDescent="0.35">
      <c r="B197" s="209" t="s">
        <v>398</v>
      </c>
      <c r="C197" s="690">
        <f>SUM(AL217:AL246)</f>
        <v>0</v>
      </c>
      <c r="D197" s="690">
        <f>COUNTIF(AL217:AL246,"&gt;0")</f>
        <v>0</v>
      </c>
      <c r="E197" s="81"/>
      <c r="F197" s="81"/>
      <c r="G197" s="81"/>
      <c r="H197" s="81"/>
      <c r="I197" s="81"/>
      <c r="J197" s="81"/>
      <c r="K197" s="81"/>
      <c r="L197" s="81"/>
      <c r="M197" s="81"/>
      <c r="N197" s="58"/>
      <c r="AG197" s="17" t="s">
        <v>0</v>
      </c>
      <c r="AK197" s="268"/>
      <c r="AL197" s="268"/>
      <c r="AM197" s="269"/>
    </row>
    <row r="198" spans="2:39" ht="18.75" x14ac:dyDescent="0.35">
      <c r="B198" s="428" t="s">
        <v>402</v>
      </c>
      <c r="C198" s="690">
        <f>SUM(AM217:AM246)</f>
        <v>0</v>
      </c>
      <c r="D198" s="690">
        <f>COUNTIF(AM217:AM246,"&gt;0")</f>
        <v>0</v>
      </c>
      <c r="E198" s="81"/>
      <c r="F198" s="81"/>
      <c r="G198" s="81"/>
      <c r="H198" s="81"/>
      <c r="I198" s="81"/>
      <c r="J198" s="81"/>
      <c r="K198" s="81"/>
      <c r="L198" s="81"/>
      <c r="M198" s="81"/>
      <c r="N198" s="58"/>
      <c r="AG198" s="17" t="s">
        <v>0</v>
      </c>
      <c r="AK198" s="268"/>
      <c r="AL198" s="268"/>
      <c r="AM198" s="269"/>
    </row>
    <row r="199" spans="2:39" ht="18.75" x14ac:dyDescent="0.35">
      <c r="B199" s="209" t="s">
        <v>401</v>
      </c>
      <c r="C199" s="690">
        <f>SUM(AN217:AN246)</f>
        <v>0</v>
      </c>
      <c r="D199" s="690">
        <f>COUNTIF(AN217:AN246,"&gt;0")</f>
        <v>0</v>
      </c>
      <c r="E199" s="81"/>
      <c r="F199" s="81"/>
      <c r="G199" s="81"/>
      <c r="H199" s="81"/>
      <c r="I199" s="81"/>
      <c r="J199" s="81"/>
      <c r="K199" s="81"/>
      <c r="L199" s="81"/>
      <c r="M199" s="81"/>
      <c r="N199" s="58"/>
      <c r="AG199" s="17" t="s">
        <v>0</v>
      </c>
      <c r="AK199" s="268"/>
      <c r="AL199" s="268"/>
      <c r="AM199" s="269"/>
    </row>
    <row r="200" spans="2:39" ht="18.75" x14ac:dyDescent="0.35">
      <c r="B200" s="209" t="s">
        <v>399</v>
      </c>
      <c r="C200" s="690">
        <f>SUM(AO217:AO246)</f>
        <v>0</v>
      </c>
      <c r="D200" s="690">
        <f>COUNTIF(AO217:AO246,"&gt;0")</f>
        <v>0</v>
      </c>
      <c r="E200" s="81"/>
      <c r="F200" s="81"/>
      <c r="G200" s="81"/>
      <c r="H200" s="81"/>
      <c r="I200" s="81"/>
      <c r="J200" s="81"/>
      <c r="K200" s="81"/>
      <c r="L200" s="81"/>
      <c r="M200" s="81"/>
      <c r="N200" s="58"/>
      <c r="AG200" s="17" t="s">
        <v>0</v>
      </c>
      <c r="AK200" s="268"/>
      <c r="AL200" s="268"/>
      <c r="AM200" s="269"/>
    </row>
    <row r="201" spans="2:39" ht="18.75" x14ac:dyDescent="0.35">
      <c r="B201" s="212" t="s">
        <v>400</v>
      </c>
      <c r="C201" s="690">
        <f>SUM(AP217:AP246)</f>
        <v>0</v>
      </c>
      <c r="D201" s="690">
        <f>COUNTIF(AP217:AP246,"&gt;0")</f>
        <v>0</v>
      </c>
      <c r="E201" s="81"/>
      <c r="F201" s="81"/>
      <c r="G201" s="81"/>
      <c r="H201" s="81"/>
      <c r="I201" s="81"/>
      <c r="J201" s="81"/>
      <c r="K201" s="81"/>
      <c r="L201" s="81"/>
      <c r="M201" s="81"/>
      <c r="N201" s="58"/>
      <c r="AG201" s="17" t="s">
        <v>0</v>
      </c>
      <c r="AK201" s="268"/>
      <c r="AL201" s="268"/>
      <c r="AM201" s="269"/>
    </row>
    <row r="202" spans="2:39" x14ac:dyDescent="0.25">
      <c r="B202" s="225"/>
      <c r="C202" s="80"/>
      <c r="D202" s="81"/>
      <c r="E202" s="81"/>
      <c r="F202" s="81"/>
      <c r="G202" s="81"/>
      <c r="H202" s="81"/>
      <c r="I202" s="81"/>
      <c r="J202" s="81"/>
      <c r="K202" s="81"/>
      <c r="L202" s="81"/>
      <c r="M202" s="81"/>
      <c r="N202" s="58"/>
      <c r="AG202" s="17" t="s">
        <v>0</v>
      </c>
    </row>
    <row r="203" spans="2:39" ht="30" x14ac:dyDescent="0.25">
      <c r="B203" s="250" t="s">
        <v>248</v>
      </c>
      <c r="C203" s="251" t="s">
        <v>5</v>
      </c>
      <c r="D203" s="81"/>
      <c r="E203" s="81"/>
      <c r="F203" s="81"/>
      <c r="G203" s="81"/>
      <c r="H203" s="81"/>
      <c r="I203" s="81"/>
      <c r="J203" s="81"/>
      <c r="K203" s="81"/>
      <c r="L203" s="81"/>
      <c r="M203" s="81"/>
      <c r="N203" s="58"/>
      <c r="AG203" s="17" t="s">
        <v>0</v>
      </c>
    </row>
    <row r="204" spans="2:39" x14ac:dyDescent="0.25">
      <c r="B204" s="77"/>
      <c r="C204" s="81"/>
      <c r="D204" s="81"/>
      <c r="E204" s="81"/>
      <c r="F204" s="81"/>
      <c r="G204" s="81"/>
      <c r="H204" s="81"/>
      <c r="I204" s="81"/>
      <c r="J204" s="81"/>
      <c r="K204" s="81"/>
      <c r="L204" s="81"/>
      <c r="M204" s="81"/>
      <c r="N204" s="58"/>
      <c r="AG204" s="17" t="s">
        <v>0</v>
      </c>
    </row>
    <row r="205" spans="2:39" x14ac:dyDescent="0.25">
      <c r="B205" s="149"/>
      <c r="C205" s="252" t="s">
        <v>249</v>
      </c>
      <c r="D205" s="252" t="s">
        <v>207</v>
      </c>
      <c r="E205" s="252" t="s">
        <v>108</v>
      </c>
      <c r="F205" s="252" t="s">
        <v>250</v>
      </c>
      <c r="G205" s="252" t="s">
        <v>251</v>
      </c>
      <c r="H205" s="252" t="s">
        <v>252</v>
      </c>
      <c r="I205" s="252" t="s">
        <v>253</v>
      </c>
      <c r="J205" s="81"/>
      <c r="K205" s="81"/>
      <c r="L205" s="81"/>
      <c r="M205" s="81"/>
      <c r="N205" s="58"/>
      <c r="AG205" s="17" t="s">
        <v>0</v>
      </c>
    </row>
    <row r="206" spans="2:39" x14ac:dyDescent="0.25">
      <c r="B206" s="254" t="s">
        <v>276</v>
      </c>
      <c r="C206" s="253">
        <v>0</v>
      </c>
      <c r="D206" s="253">
        <v>1</v>
      </c>
      <c r="E206" s="253">
        <v>2</v>
      </c>
      <c r="F206" s="253">
        <v>3</v>
      </c>
      <c r="G206" s="253">
        <v>4</v>
      </c>
      <c r="H206" s="253">
        <v>5</v>
      </c>
      <c r="I206" s="253">
        <v>6</v>
      </c>
      <c r="J206" s="81"/>
      <c r="K206" s="81"/>
      <c r="L206" s="81"/>
      <c r="M206" s="81"/>
      <c r="N206" s="58"/>
      <c r="AG206" s="17" t="s">
        <v>0</v>
      </c>
    </row>
    <row r="207" spans="2:39" ht="30" x14ac:dyDescent="0.25">
      <c r="B207" s="254" t="s">
        <v>464</v>
      </c>
      <c r="C207" s="230" t="s">
        <v>254</v>
      </c>
      <c r="D207" s="230" t="s">
        <v>254</v>
      </c>
      <c r="E207" s="230" t="s">
        <v>255</v>
      </c>
      <c r="F207" s="230" t="s">
        <v>256</v>
      </c>
      <c r="G207" s="230" t="s">
        <v>257</v>
      </c>
      <c r="H207" s="230" t="s">
        <v>258</v>
      </c>
      <c r="I207" s="230" t="s">
        <v>258</v>
      </c>
      <c r="J207" s="81"/>
      <c r="K207" s="81"/>
      <c r="L207" s="81"/>
      <c r="M207" s="81"/>
      <c r="N207" s="58"/>
      <c r="AG207" s="17" t="s">
        <v>0</v>
      </c>
    </row>
    <row r="208" spans="2:39" x14ac:dyDescent="0.25">
      <c r="B208" s="254" t="s">
        <v>458</v>
      </c>
      <c r="C208" s="231">
        <v>0.03</v>
      </c>
      <c r="D208" s="231">
        <v>0.03</v>
      </c>
      <c r="E208" s="231">
        <v>0.03</v>
      </c>
      <c r="F208" s="231">
        <v>1.4999999999999999E-2</v>
      </c>
      <c r="G208" s="231">
        <v>1.4999999999999999E-2</v>
      </c>
      <c r="H208" s="231">
        <v>1.4999999999999999E-2</v>
      </c>
      <c r="I208" s="231">
        <v>1.4999999999999999E-2</v>
      </c>
      <c r="J208" s="81"/>
      <c r="K208" s="81"/>
      <c r="L208" s="81"/>
      <c r="M208" s="81"/>
      <c r="N208" s="58"/>
      <c r="AG208" s="17" t="s">
        <v>0</v>
      </c>
    </row>
    <row r="209" spans="2:42" x14ac:dyDescent="0.25">
      <c r="B209" s="254" t="s">
        <v>465</v>
      </c>
      <c r="C209" s="255">
        <v>0.15</v>
      </c>
      <c r="D209" s="255">
        <v>0.15</v>
      </c>
      <c r="E209" s="231">
        <f>E208</f>
        <v>0.03</v>
      </c>
      <c r="F209" s="231">
        <f>F208</f>
        <v>1.4999999999999999E-2</v>
      </c>
      <c r="G209" s="231">
        <f>G208</f>
        <v>1.4999999999999999E-2</v>
      </c>
      <c r="H209" s="231">
        <f>H208</f>
        <v>1.4999999999999999E-2</v>
      </c>
      <c r="I209" s="231">
        <f>I208</f>
        <v>1.4999999999999999E-2</v>
      </c>
      <c r="J209" s="81"/>
      <c r="K209" s="81"/>
      <c r="L209" s="81"/>
      <c r="M209" s="81"/>
      <c r="N209" s="58"/>
      <c r="P209" s="193"/>
      <c r="AG209" s="17" t="s">
        <v>0</v>
      </c>
    </row>
    <row r="210" spans="2:42" x14ac:dyDescent="0.25">
      <c r="B210" s="254" t="s">
        <v>459</v>
      </c>
      <c r="C210" s="255">
        <v>0.1</v>
      </c>
      <c r="D210" s="255">
        <v>0.1</v>
      </c>
      <c r="E210" s="255">
        <v>0.1</v>
      </c>
      <c r="F210" s="255">
        <v>0.1</v>
      </c>
      <c r="G210" s="255">
        <v>0.1</v>
      </c>
      <c r="H210" s="255">
        <v>0.1</v>
      </c>
      <c r="I210" s="255">
        <v>0.1</v>
      </c>
      <c r="J210" s="81"/>
      <c r="K210" s="81"/>
      <c r="L210" s="81"/>
      <c r="M210" s="81"/>
      <c r="N210" s="58"/>
      <c r="P210" s="193"/>
      <c r="AG210" s="17" t="s">
        <v>0</v>
      </c>
    </row>
    <row r="211" spans="2:42" ht="18" x14ac:dyDescent="0.35">
      <c r="B211" s="254" t="s">
        <v>460</v>
      </c>
      <c r="C211" s="385">
        <v>0.12</v>
      </c>
      <c r="D211" s="385">
        <v>0.12</v>
      </c>
      <c r="E211" s="385">
        <v>0.21</v>
      </c>
      <c r="F211" s="385">
        <v>0.27</v>
      </c>
      <c r="G211" s="385">
        <v>0.73</v>
      </c>
      <c r="H211" s="385">
        <v>0.73</v>
      </c>
      <c r="I211" s="385">
        <v>0.73</v>
      </c>
      <c r="J211" s="81"/>
      <c r="K211" s="81"/>
      <c r="L211" s="81"/>
      <c r="M211" s="81"/>
      <c r="N211" s="58"/>
      <c r="AG211" s="17" t="s">
        <v>0</v>
      </c>
      <c r="AK211" s="256" t="s">
        <v>266</v>
      </c>
    </row>
    <row r="212" spans="2:42" x14ac:dyDescent="0.25">
      <c r="B212" s="254" t="s">
        <v>461</v>
      </c>
      <c r="C212" s="385">
        <v>0.12</v>
      </c>
      <c r="D212" s="385">
        <v>0.12</v>
      </c>
      <c r="E212" s="385">
        <v>0.21</v>
      </c>
      <c r="F212" s="385">
        <v>0.27</v>
      </c>
      <c r="G212" s="385">
        <v>0.64500000000000002</v>
      </c>
      <c r="H212" s="385">
        <v>0.73</v>
      </c>
      <c r="I212" s="385">
        <v>0.73</v>
      </c>
      <c r="J212" s="81"/>
      <c r="K212" s="81"/>
      <c r="L212" s="81"/>
      <c r="M212" s="81"/>
      <c r="N212" s="58"/>
      <c r="AG212" s="17" t="s">
        <v>0</v>
      </c>
      <c r="AK212" s="256" t="s">
        <v>466</v>
      </c>
    </row>
    <row r="213" spans="2:42" ht="48" x14ac:dyDescent="0.25">
      <c r="B213" s="254" t="s">
        <v>462</v>
      </c>
      <c r="C213" s="232">
        <v>0</v>
      </c>
      <c r="D213" s="232">
        <v>0</v>
      </c>
      <c r="E213" s="232">
        <v>0.12</v>
      </c>
      <c r="F213" s="232">
        <v>0.21</v>
      </c>
      <c r="G213" s="232">
        <v>0.27</v>
      </c>
      <c r="H213" s="232">
        <v>0.73</v>
      </c>
      <c r="I213" s="232">
        <v>0.73</v>
      </c>
      <c r="J213" s="81"/>
      <c r="K213" s="81"/>
      <c r="L213" s="81"/>
      <c r="M213" s="81"/>
      <c r="N213" s="58"/>
      <c r="AG213" s="17" t="s">
        <v>0</v>
      </c>
      <c r="AK213" s="256" t="s">
        <v>457</v>
      </c>
    </row>
    <row r="214" spans="2:42" ht="18" x14ac:dyDescent="0.35">
      <c r="B214" s="257" t="s">
        <v>463</v>
      </c>
      <c r="C214" s="258">
        <v>0.12</v>
      </c>
      <c r="D214" s="258">
        <v>0.12</v>
      </c>
      <c r="E214" s="258">
        <v>0.12</v>
      </c>
      <c r="F214" s="258">
        <v>0.12</v>
      </c>
      <c r="G214" s="258">
        <v>0.12</v>
      </c>
      <c r="H214" s="258">
        <v>0.12</v>
      </c>
      <c r="I214" s="258">
        <v>0.12</v>
      </c>
      <c r="J214" s="81"/>
      <c r="K214" s="81"/>
      <c r="L214" s="81"/>
      <c r="M214" s="81"/>
      <c r="N214" s="58"/>
      <c r="AG214" s="17" t="s">
        <v>0</v>
      </c>
      <c r="AK214" s="256" t="s">
        <v>467</v>
      </c>
    </row>
    <row r="215" spans="2:42" x14ac:dyDescent="0.25">
      <c r="B215" s="225"/>
      <c r="C215" s="227"/>
      <c r="D215" s="227"/>
      <c r="E215" s="227"/>
      <c r="F215" s="227"/>
      <c r="G215" s="227"/>
      <c r="H215" s="227"/>
      <c r="I215" s="227"/>
      <c r="J215" s="80"/>
      <c r="K215" s="80"/>
      <c r="L215" s="80"/>
      <c r="M215" s="80"/>
      <c r="N215" s="50"/>
      <c r="AG215" s="17" t="s">
        <v>0</v>
      </c>
      <c r="AK215" s="256" t="s">
        <v>268</v>
      </c>
    </row>
    <row r="216" spans="2:42" ht="240" x14ac:dyDescent="0.25">
      <c r="B216" s="229" t="s">
        <v>149</v>
      </c>
      <c r="C216" s="229" t="s">
        <v>150</v>
      </c>
      <c r="D216" s="229" t="s">
        <v>151</v>
      </c>
      <c r="E216" s="229" t="s">
        <v>259</v>
      </c>
      <c r="F216" s="229" t="s">
        <v>477</v>
      </c>
      <c r="G216" s="229" t="s">
        <v>260</v>
      </c>
      <c r="H216" s="229" t="s">
        <v>261</v>
      </c>
      <c r="I216" s="229" t="s">
        <v>262</v>
      </c>
      <c r="J216" s="229" t="s">
        <v>263</v>
      </c>
      <c r="K216" s="229" t="s">
        <v>264</v>
      </c>
      <c r="L216" s="229" t="s">
        <v>265</v>
      </c>
      <c r="M216" s="229"/>
      <c r="N216" s="229" t="s">
        <v>403</v>
      </c>
      <c r="AG216" s="17" t="s">
        <v>0</v>
      </c>
      <c r="AK216" s="228"/>
      <c r="AL216" s="439" t="s">
        <v>149</v>
      </c>
      <c r="AM216" s="440"/>
      <c r="AN216" s="440"/>
      <c r="AO216" s="440"/>
      <c r="AP216" s="440"/>
    </row>
    <row r="217" spans="2:42" x14ac:dyDescent="0.25">
      <c r="B217" s="691"/>
      <c r="C217" s="691"/>
      <c r="D217" s="691"/>
      <c r="E217" s="692"/>
      <c r="F217" s="693"/>
      <c r="G217" s="694"/>
      <c r="H217" s="240" t="str">
        <f>IF(B217="","",IF(OR(COUNTIF(B218:$B$246,B217)=0,AK217&lt;&gt;AK218),SUMIFS($G$217:$G$246,$B$217:$B$246,B217,$AK$217:$AK$246,AK217),""))</f>
        <v/>
      </c>
      <c r="I217" s="240" t="str">
        <f>IF(H217="","",ROUND(SUMPRODUCT($E$217:$E$246,$G$217:$G$246,($D$217:$D$246=D217)*1,($B$217:$B$246=B217)*1)/H217,0))</f>
        <v/>
      </c>
      <c r="J217" s="241" t="str">
        <f t="shared" ref="J217:J246" si="39">IF(H217="","-",IF(AND(OR(AK217=1,AK217=5),I217&lt;&gt;""),HLOOKUP(I217,$C$206:$I$210,3,0),IF(AK217=2,IF(OR(F217=122%,F217&lt;122%),1.5%,3%),IF(AK217=3,HLOOKUP(I217,$C$206:$I$209,4,0),IF(AK217=4,$C$210,"-")))))</f>
        <v>-</v>
      </c>
      <c r="K217" s="242" t="str">
        <f>IF(AND(H217&lt;&gt;"",J217&lt;&gt;"-"),MAX(0,H217/$C$203-J217),"-")</f>
        <v>-</v>
      </c>
      <c r="L217" s="246" t="str">
        <f t="shared" ref="L217:L246" si="40">IF(M217&lt;&gt;"continuer",M217,IF(AK217=5,HLOOKUP(I217,$C$206:$I$213,8,0),IF(AND(AK217=2,I217&lt;&gt;"-"),IF(F217&lt;95%,73%,IF(F217&lt;100%,(73%-64.5%)/(95%-100%)*F217+73%-95%*(73%-64.5%)/(95%-100%),IF(F217&lt;122%,(64.5%-27%)/(100%-122%)*F217+64.5%-100%*(64.5%-27%)/(100%-122%),IF(F217&lt;175%,(27%-21%)/(122%-175%)*F217+27%-122%*(27%-21%)/(122%-175%),IF(F217&lt;196%,(21%-12%)/(175%-196%)*F217+21%-175%*(21%-12%)/(175%-196%),12% ))))))))</f>
        <v>-</v>
      </c>
      <c r="M217" s="246" t="str">
        <f t="shared" ref="M217:M246" si="41">IF(OR(B217="",H217="",J217="-"),"-",IF(AK217=4,$C$214, IF(AND(AK217&lt;&gt;5,AK217&lt;&gt;2),HLOOKUP(I217,$C$206:$I$213,6,0),"continuer")))</f>
        <v>-</v>
      </c>
      <c r="N217" s="248" t="str">
        <f>IF(AND(H217&lt;&gt;"",L217&lt;&gt;"-"),$C$203*K217*L217,"-")</f>
        <v>-</v>
      </c>
      <c r="AG217" s="17" t="s">
        <v>0</v>
      </c>
      <c r="AK217" s="239">
        <f t="shared" ref="AK217:AK246" si="42">IF(D217=$AK$215,5,IF(D217=$AK$212,2,IF(D217=$AK$213,3,IF(D217=$AK$214,4,IF(D217=$AK$211,1,0)))))</f>
        <v>0</v>
      </c>
      <c r="AL217" s="239">
        <f t="shared" ref="AL217:AL246" si="43">IF(AND($AK217=1,N217&lt;&gt;"-"),$N217*$N217,0)</f>
        <v>0</v>
      </c>
      <c r="AM217" s="239">
        <f t="shared" ref="AM217:AM246" si="44">IF(AND($AK217=2,N217&lt;&gt;"-"),$N217*$N217,0)</f>
        <v>0</v>
      </c>
      <c r="AN217" s="239">
        <f t="shared" ref="AN217:AN246" si="45">IF(AND($AK217=3,N217&lt;&gt;"-"),$N217*$N217,0)</f>
        <v>0</v>
      </c>
      <c r="AO217" s="239">
        <f t="shared" ref="AO217:AO246" si="46">IF(AND($AK217=4,N217&lt;&gt;"-"),$N217*$N217,0)</f>
        <v>0</v>
      </c>
      <c r="AP217" s="239">
        <f t="shared" ref="AP217:AP246" si="47">IF(AND($AK217=5,N217&lt;&gt;"-"),$N217*$N217,0)</f>
        <v>0</v>
      </c>
    </row>
    <row r="218" spans="2:42" x14ac:dyDescent="0.25">
      <c r="B218" s="695"/>
      <c r="C218" s="691"/>
      <c r="D218" s="691"/>
      <c r="E218" s="696"/>
      <c r="F218" s="697"/>
      <c r="G218" s="691"/>
      <c r="H218" s="233" t="str">
        <f>IF(B218="","",IF(OR(COUNTIF(B219:$B$246,B218)=0,AK218&lt;&gt;AK219),SUMIFS($G$217:$G$246,$B$217:$B$246,B218,$AK$217:$AK$246,AK218),""))</f>
        <v/>
      </c>
      <c r="I218" s="233" t="str">
        <f t="shared" ref="I218:I246" si="48">IF(H218="","",ROUND(SUMPRODUCT($E$217:$E$246,$G$217:$G$246,($D$217:$D$246=D218)*1,($B$217:$B$246=B218)*1)/H218,0))</f>
        <v/>
      </c>
      <c r="J218" s="234" t="str">
        <f t="shared" si="39"/>
        <v>-</v>
      </c>
      <c r="K218" s="235" t="str">
        <f t="shared" ref="K218:K246" si="49">IF(AND(H218&lt;&gt;"",J218&lt;&gt;"-"),MAX(0,H218/$C$203-J218),"-")</f>
        <v>-</v>
      </c>
      <c r="L218" s="236" t="str">
        <f t="shared" si="40"/>
        <v>-</v>
      </c>
      <c r="M218" s="236" t="str">
        <f t="shared" si="41"/>
        <v>-</v>
      </c>
      <c r="N218" s="237" t="str">
        <f t="shared" ref="N218:N246" si="50">IF(AND(H218&lt;&gt;"",L218&lt;&gt;"-"),$C$203*K218*L218,"-")</f>
        <v>-</v>
      </c>
      <c r="AG218" s="17" t="s">
        <v>0</v>
      </c>
      <c r="AK218" s="239">
        <f t="shared" si="42"/>
        <v>0</v>
      </c>
      <c r="AL218" s="239">
        <f t="shared" si="43"/>
        <v>0</v>
      </c>
      <c r="AM218" s="239">
        <f t="shared" si="44"/>
        <v>0</v>
      </c>
      <c r="AN218" s="239">
        <f t="shared" si="45"/>
        <v>0</v>
      </c>
      <c r="AO218" s="239">
        <f t="shared" si="46"/>
        <v>0</v>
      </c>
      <c r="AP218" s="239">
        <f t="shared" si="47"/>
        <v>0</v>
      </c>
    </row>
    <row r="219" spans="2:42" x14ac:dyDescent="0.25">
      <c r="B219" s="695"/>
      <c r="C219" s="691"/>
      <c r="D219" s="691"/>
      <c r="E219" s="696"/>
      <c r="F219" s="697"/>
      <c r="G219" s="691"/>
      <c r="H219" s="233" t="str">
        <f>IF(B219="","",IF(OR(COUNTIF(B220:$B$246,B219)=0,AK219&lt;&gt;AK220),SUMIFS($G$217:$G$246,$B$217:$B$246,B219,$AK$217:$AK$246,AK219),""))</f>
        <v/>
      </c>
      <c r="I219" s="233" t="str">
        <f t="shared" si="48"/>
        <v/>
      </c>
      <c r="J219" s="234" t="str">
        <f t="shared" si="39"/>
        <v>-</v>
      </c>
      <c r="K219" s="235" t="str">
        <f t="shared" si="49"/>
        <v>-</v>
      </c>
      <c r="L219" s="236" t="str">
        <f t="shared" si="40"/>
        <v>-</v>
      </c>
      <c r="M219" s="236" t="str">
        <f t="shared" si="41"/>
        <v>-</v>
      </c>
      <c r="N219" s="237" t="str">
        <f t="shared" si="50"/>
        <v>-</v>
      </c>
      <c r="AG219" s="17" t="s">
        <v>0</v>
      </c>
      <c r="AK219" s="239">
        <f t="shared" si="42"/>
        <v>0</v>
      </c>
      <c r="AL219" s="239">
        <f t="shared" si="43"/>
        <v>0</v>
      </c>
      <c r="AM219" s="239">
        <f t="shared" si="44"/>
        <v>0</v>
      </c>
      <c r="AN219" s="239">
        <f t="shared" si="45"/>
        <v>0</v>
      </c>
      <c r="AO219" s="239">
        <f t="shared" si="46"/>
        <v>0</v>
      </c>
      <c r="AP219" s="239">
        <f t="shared" si="47"/>
        <v>0</v>
      </c>
    </row>
    <row r="220" spans="2:42" x14ac:dyDescent="0.25">
      <c r="B220" s="695"/>
      <c r="C220" s="695"/>
      <c r="D220" s="691"/>
      <c r="E220" s="696"/>
      <c r="F220" s="697"/>
      <c r="G220" s="691"/>
      <c r="H220" s="233" t="str">
        <f>IF(B220="","",IF(OR(COUNTIF(B221:$B$246,B220)=0,AK220&lt;&gt;AK221),SUMIFS($G$217:$G$246,$B$217:$B$246,B220,$AK$217:$AK$246,AK220),""))</f>
        <v/>
      </c>
      <c r="I220" s="233" t="str">
        <f t="shared" si="48"/>
        <v/>
      </c>
      <c r="J220" s="234" t="str">
        <f t="shared" si="39"/>
        <v>-</v>
      </c>
      <c r="K220" s="235" t="str">
        <f t="shared" si="49"/>
        <v>-</v>
      </c>
      <c r="L220" s="236" t="str">
        <f t="shared" si="40"/>
        <v>-</v>
      </c>
      <c r="M220" s="236" t="str">
        <f t="shared" si="41"/>
        <v>-</v>
      </c>
      <c r="N220" s="237" t="str">
        <f t="shared" si="50"/>
        <v>-</v>
      </c>
      <c r="AG220" s="17" t="s">
        <v>0</v>
      </c>
      <c r="AK220" s="239">
        <f t="shared" si="42"/>
        <v>0</v>
      </c>
      <c r="AL220" s="239">
        <f t="shared" si="43"/>
        <v>0</v>
      </c>
      <c r="AM220" s="239">
        <f t="shared" si="44"/>
        <v>0</v>
      </c>
      <c r="AN220" s="239">
        <f t="shared" si="45"/>
        <v>0</v>
      </c>
      <c r="AO220" s="239">
        <f t="shared" si="46"/>
        <v>0</v>
      </c>
      <c r="AP220" s="239">
        <f t="shared" si="47"/>
        <v>0</v>
      </c>
    </row>
    <row r="221" spans="2:42" x14ac:dyDescent="0.25">
      <c r="B221" s="695"/>
      <c r="C221" s="695"/>
      <c r="D221" s="691"/>
      <c r="E221" s="696"/>
      <c r="F221" s="697"/>
      <c r="G221" s="691"/>
      <c r="H221" s="233" t="str">
        <f>IF(B221="","",IF(OR(COUNTIF(B222:$B$246,B221)=0,AK221&lt;&gt;AK222),SUMIFS($G$217:$G$246,$B$217:$B$246,B221,$AK$217:$AK$246,AK221),""))</f>
        <v/>
      </c>
      <c r="I221" s="233" t="str">
        <f t="shared" si="48"/>
        <v/>
      </c>
      <c r="J221" s="234" t="str">
        <f t="shared" si="39"/>
        <v>-</v>
      </c>
      <c r="K221" s="235" t="str">
        <f t="shared" si="49"/>
        <v>-</v>
      </c>
      <c r="L221" s="236" t="str">
        <f t="shared" si="40"/>
        <v>-</v>
      </c>
      <c r="M221" s="236" t="str">
        <f t="shared" si="41"/>
        <v>-</v>
      </c>
      <c r="N221" s="237" t="str">
        <f t="shared" si="50"/>
        <v>-</v>
      </c>
      <c r="AG221" s="17" t="s">
        <v>0</v>
      </c>
      <c r="AK221" s="239">
        <f t="shared" si="42"/>
        <v>0</v>
      </c>
      <c r="AL221" s="239">
        <f t="shared" si="43"/>
        <v>0</v>
      </c>
      <c r="AM221" s="239">
        <f t="shared" si="44"/>
        <v>0</v>
      </c>
      <c r="AN221" s="239">
        <f t="shared" si="45"/>
        <v>0</v>
      </c>
      <c r="AO221" s="239">
        <f t="shared" si="46"/>
        <v>0</v>
      </c>
      <c r="AP221" s="239">
        <f t="shared" si="47"/>
        <v>0</v>
      </c>
    </row>
    <row r="222" spans="2:42" x14ac:dyDescent="0.25">
      <c r="B222" s="695"/>
      <c r="C222" s="695"/>
      <c r="D222" s="691"/>
      <c r="E222" s="696"/>
      <c r="F222" s="697"/>
      <c r="G222" s="691"/>
      <c r="H222" s="233" t="str">
        <f>IF(B222="","",IF(OR(COUNTIF(B223:$B$246,B222)=0,AK222&lt;&gt;AK223),SUMIFS($G$217:$G$246,$B$217:$B$246,B222,$AK$217:$AK$246,AK222),""))</f>
        <v/>
      </c>
      <c r="I222" s="233" t="str">
        <f t="shared" si="48"/>
        <v/>
      </c>
      <c r="J222" s="234" t="str">
        <f t="shared" si="39"/>
        <v>-</v>
      </c>
      <c r="K222" s="235" t="str">
        <f t="shared" si="49"/>
        <v>-</v>
      </c>
      <c r="L222" s="236" t="str">
        <f t="shared" si="40"/>
        <v>-</v>
      </c>
      <c r="M222" s="236" t="str">
        <f t="shared" si="41"/>
        <v>-</v>
      </c>
      <c r="N222" s="237" t="str">
        <f t="shared" si="50"/>
        <v>-</v>
      </c>
      <c r="AG222" s="17" t="s">
        <v>0</v>
      </c>
      <c r="AK222" s="239">
        <f t="shared" si="42"/>
        <v>0</v>
      </c>
      <c r="AL222" s="239">
        <f t="shared" si="43"/>
        <v>0</v>
      </c>
      <c r="AM222" s="239">
        <f t="shared" si="44"/>
        <v>0</v>
      </c>
      <c r="AN222" s="239">
        <f t="shared" si="45"/>
        <v>0</v>
      </c>
      <c r="AO222" s="239">
        <f t="shared" si="46"/>
        <v>0</v>
      </c>
      <c r="AP222" s="239">
        <f t="shared" si="47"/>
        <v>0</v>
      </c>
    </row>
    <row r="223" spans="2:42" x14ac:dyDescent="0.25">
      <c r="B223" s="695"/>
      <c r="C223" s="695"/>
      <c r="D223" s="691"/>
      <c r="E223" s="696"/>
      <c r="F223" s="691"/>
      <c r="G223" s="691"/>
      <c r="H223" s="233" t="str">
        <f>IF(B223="","",IF(OR(COUNTIF(B224:$B$246,B223)=0,AK223&lt;&gt;AK224),SUMIFS($G$217:$G$246,$B$217:$B$246,B223,$AK$217:$AK$246,AK223),""))</f>
        <v/>
      </c>
      <c r="I223" s="233" t="str">
        <f t="shared" si="48"/>
        <v/>
      </c>
      <c r="J223" s="234" t="str">
        <f t="shared" si="39"/>
        <v>-</v>
      </c>
      <c r="K223" s="235" t="str">
        <f t="shared" si="49"/>
        <v>-</v>
      </c>
      <c r="L223" s="236" t="str">
        <f t="shared" si="40"/>
        <v>-</v>
      </c>
      <c r="M223" s="236" t="str">
        <f t="shared" si="41"/>
        <v>-</v>
      </c>
      <c r="N223" s="237" t="str">
        <f t="shared" si="50"/>
        <v>-</v>
      </c>
      <c r="AG223" s="17" t="s">
        <v>0</v>
      </c>
      <c r="AK223" s="239">
        <f t="shared" si="42"/>
        <v>0</v>
      </c>
      <c r="AL223" s="239">
        <f t="shared" si="43"/>
        <v>0</v>
      </c>
      <c r="AM223" s="239">
        <f t="shared" si="44"/>
        <v>0</v>
      </c>
      <c r="AN223" s="239">
        <f t="shared" si="45"/>
        <v>0</v>
      </c>
      <c r="AO223" s="239">
        <f t="shared" si="46"/>
        <v>0</v>
      </c>
      <c r="AP223" s="239">
        <f t="shared" si="47"/>
        <v>0</v>
      </c>
    </row>
    <row r="224" spans="2:42" x14ac:dyDescent="0.25">
      <c r="B224" s="695"/>
      <c r="C224" s="695"/>
      <c r="D224" s="691"/>
      <c r="E224" s="696"/>
      <c r="F224" s="691"/>
      <c r="G224" s="691"/>
      <c r="H224" s="233" t="str">
        <f>IF(B224="","",IF(OR(COUNTIF(B225:$B$246,B224)=0,AK224&lt;&gt;AK225),SUMIFS($G$217:$G$246,$B$217:$B$246,B224,$AK$217:$AK$246,AK224),""))</f>
        <v/>
      </c>
      <c r="I224" s="233" t="str">
        <f t="shared" si="48"/>
        <v/>
      </c>
      <c r="J224" s="234" t="str">
        <f t="shared" si="39"/>
        <v>-</v>
      </c>
      <c r="K224" s="235" t="str">
        <f t="shared" si="49"/>
        <v>-</v>
      </c>
      <c r="L224" s="236" t="str">
        <f t="shared" si="40"/>
        <v>-</v>
      </c>
      <c r="M224" s="236" t="str">
        <f t="shared" si="41"/>
        <v>-</v>
      </c>
      <c r="N224" s="237" t="str">
        <f t="shared" si="50"/>
        <v>-</v>
      </c>
      <c r="AG224" s="17" t="s">
        <v>0</v>
      </c>
      <c r="AK224" s="239">
        <f t="shared" si="42"/>
        <v>0</v>
      </c>
      <c r="AL224" s="239">
        <f t="shared" si="43"/>
        <v>0</v>
      </c>
      <c r="AM224" s="239">
        <f t="shared" si="44"/>
        <v>0</v>
      </c>
      <c r="AN224" s="239">
        <f t="shared" si="45"/>
        <v>0</v>
      </c>
      <c r="AO224" s="239">
        <f t="shared" si="46"/>
        <v>0</v>
      </c>
      <c r="AP224" s="239">
        <f t="shared" si="47"/>
        <v>0</v>
      </c>
    </row>
    <row r="225" spans="2:42" x14ac:dyDescent="0.25">
      <c r="B225" s="695"/>
      <c r="C225" s="695"/>
      <c r="D225" s="691"/>
      <c r="E225" s="696"/>
      <c r="F225" s="691"/>
      <c r="G225" s="691"/>
      <c r="H225" s="233" t="str">
        <f>IF(B225="","",IF(OR(COUNTIF(B226:$B$246,B225)=0,AK225&lt;&gt;AK226),SUMIFS($G$217:$G$246,$B$217:$B$246,B225,$AK$217:$AK$246,AK225),""))</f>
        <v/>
      </c>
      <c r="I225" s="233" t="str">
        <f t="shared" si="48"/>
        <v/>
      </c>
      <c r="J225" s="234" t="str">
        <f t="shared" si="39"/>
        <v>-</v>
      </c>
      <c r="K225" s="235" t="str">
        <f t="shared" si="49"/>
        <v>-</v>
      </c>
      <c r="L225" s="236" t="str">
        <f t="shared" si="40"/>
        <v>-</v>
      </c>
      <c r="M225" s="236" t="str">
        <f t="shared" si="41"/>
        <v>-</v>
      </c>
      <c r="N225" s="237" t="str">
        <f t="shared" si="50"/>
        <v>-</v>
      </c>
      <c r="AG225" s="17" t="s">
        <v>0</v>
      </c>
      <c r="AK225" s="239">
        <f t="shared" si="42"/>
        <v>0</v>
      </c>
      <c r="AL225" s="239">
        <f t="shared" si="43"/>
        <v>0</v>
      </c>
      <c r="AM225" s="239">
        <f t="shared" si="44"/>
        <v>0</v>
      </c>
      <c r="AN225" s="239">
        <f t="shared" si="45"/>
        <v>0</v>
      </c>
      <c r="AO225" s="239">
        <f t="shared" si="46"/>
        <v>0</v>
      </c>
      <c r="AP225" s="239">
        <f t="shared" si="47"/>
        <v>0</v>
      </c>
    </row>
    <row r="226" spans="2:42" x14ac:dyDescent="0.25">
      <c r="B226" s="691"/>
      <c r="C226" s="691"/>
      <c r="D226" s="691"/>
      <c r="E226" s="696"/>
      <c r="F226" s="691"/>
      <c r="G226" s="691"/>
      <c r="H226" s="233" t="str">
        <f>IF(B226="","",IF(OR(COUNTIF(B227:$B$246,B226)=0,AK226&lt;&gt;AK227),SUMIFS($G$217:$G$246,$B$217:$B$246,B226,$AK$217:$AK$246,AK226),""))</f>
        <v/>
      </c>
      <c r="I226" s="233" t="str">
        <f t="shared" si="48"/>
        <v/>
      </c>
      <c r="J226" s="234" t="str">
        <f t="shared" si="39"/>
        <v>-</v>
      </c>
      <c r="K226" s="235" t="str">
        <f t="shared" si="49"/>
        <v>-</v>
      </c>
      <c r="L226" s="236" t="str">
        <f t="shared" si="40"/>
        <v>-</v>
      </c>
      <c r="M226" s="236" t="str">
        <f t="shared" si="41"/>
        <v>-</v>
      </c>
      <c r="N226" s="237" t="str">
        <f t="shared" si="50"/>
        <v>-</v>
      </c>
      <c r="AG226" s="17" t="s">
        <v>0</v>
      </c>
      <c r="AK226" s="239">
        <f t="shared" si="42"/>
        <v>0</v>
      </c>
      <c r="AL226" s="239">
        <f t="shared" si="43"/>
        <v>0</v>
      </c>
      <c r="AM226" s="239">
        <f t="shared" si="44"/>
        <v>0</v>
      </c>
      <c r="AN226" s="239">
        <f t="shared" si="45"/>
        <v>0</v>
      </c>
      <c r="AO226" s="239">
        <f t="shared" si="46"/>
        <v>0</v>
      </c>
      <c r="AP226" s="239">
        <f t="shared" si="47"/>
        <v>0</v>
      </c>
    </row>
    <row r="227" spans="2:42" x14ac:dyDescent="0.25">
      <c r="B227" s="691"/>
      <c r="C227" s="691"/>
      <c r="D227" s="691"/>
      <c r="E227" s="696"/>
      <c r="F227" s="691"/>
      <c r="G227" s="691"/>
      <c r="H227" s="233" t="str">
        <f>IF(B227="","",IF(OR(COUNTIF(B228:$B$246,B227)=0,AK227&lt;&gt;AK228),SUMIFS($G$217:$G$246,$B$217:$B$246,B227,$AK$217:$AK$246,AK227),""))</f>
        <v/>
      </c>
      <c r="I227" s="233" t="str">
        <f t="shared" si="48"/>
        <v/>
      </c>
      <c r="J227" s="234" t="str">
        <f t="shared" si="39"/>
        <v>-</v>
      </c>
      <c r="K227" s="235" t="str">
        <f t="shared" si="49"/>
        <v>-</v>
      </c>
      <c r="L227" s="236" t="str">
        <f t="shared" si="40"/>
        <v>-</v>
      </c>
      <c r="M227" s="236" t="str">
        <f t="shared" si="41"/>
        <v>-</v>
      </c>
      <c r="N227" s="237" t="str">
        <f t="shared" si="50"/>
        <v>-</v>
      </c>
      <c r="AG227" s="17" t="s">
        <v>0</v>
      </c>
      <c r="AK227" s="239">
        <f t="shared" si="42"/>
        <v>0</v>
      </c>
      <c r="AL227" s="239">
        <f t="shared" si="43"/>
        <v>0</v>
      </c>
      <c r="AM227" s="239">
        <f t="shared" si="44"/>
        <v>0</v>
      </c>
      <c r="AN227" s="239">
        <f t="shared" si="45"/>
        <v>0</v>
      </c>
      <c r="AO227" s="239">
        <f t="shared" si="46"/>
        <v>0</v>
      </c>
      <c r="AP227" s="239">
        <f t="shared" si="47"/>
        <v>0</v>
      </c>
    </row>
    <row r="228" spans="2:42" x14ac:dyDescent="0.25">
      <c r="B228" s="695"/>
      <c r="C228" s="695"/>
      <c r="D228" s="691"/>
      <c r="E228" s="696"/>
      <c r="F228" s="691"/>
      <c r="G228" s="691"/>
      <c r="H228" s="233" t="str">
        <f>IF(B228="","",IF(OR(COUNTIF(B229:$B$246,B228)=0,AK228&lt;&gt;AK229),SUMIFS($G$217:$G$246,$B$217:$B$246,B228,$AK$217:$AK$246,AK228),""))</f>
        <v/>
      </c>
      <c r="I228" s="233" t="str">
        <f t="shared" si="48"/>
        <v/>
      </c>
      <c r="J228" s="234" t="str">
        <f t="shared" si="39"/>
        <v>-</v>
      </c>
      <c r="K228" s="235" t="str">
        <f t="shared" si="49"/>
        <v>-</v>
      </c>
      <c r="L228" s="236" t="str">
        <f t="shared" si="40"/>
        <v>-</v>
      </c>
      <c r="M228" s="236" t="str">
        <f t="shared" si="41"/>
        <v>-</v>
      </c>
      <c r="N228" s="237" t="str">
        <f t="shared" si="50"/>
        <v>-</v>
      </c>
      <c r="AG228" s="17" t="s">
        <v>0</v>
      </c>
      <c r="AK228" s="239">
        <f t="shared" si="42"/>
        <v>0</v>
      </c>
      <c r="AL228" s="239">
        <f t="shared" si="43"/>
        <v>0</v>
      </c>
      <c r="AM228" s="239">
        <f t="shared" si="44"/>
        <v>0</v>
      </c>
      <c r="AN228" s="239">
        <f t="shared" si="45"/>
        <v>0</v>
      </c>
      <c r="AO228" s="239">
        <f t="shared" si="46"/>
        <v>0</v>
      </c>
      <c r="AP228" s="239">
        <f t="shared" si="47"/>
        <v>0</v>
      </c>
    </row>
    <row r="229" spans="2:42" x14ac:dyDescent="0.25">
      <c r="B229" s="695"/>
      <c r="C229" s="695"/>
      <c r="D229" s="691"/>
      <c r="E229" s="696"/>
      <c r="F229" s="691"/>
      <c r="G229" s="691"/>
      <c r="H229" s="233" t="str">
        <f>IF(B229="","",IF(OR(COUNTIF(B230:$B$246,B229)=0,AK229&lt;&gt;AK230),SUMIFS($G$217:$G$246,$B$217:$B$246,B229,$AK$217:$AK$246,AK229),""))</f>
        <v/>
      </c>
      <c r="I229" s="233" t="str">
        <f t="shared" si="48"/>
        <v/>
      </c>
      <c r="J229" s="234" t="str">
        <f t="shared" si="39"/>
        <v>-</v>
      </c>
      <c r="K229" s="235" t="str">
        <f t="shared" si="49"/>
        <v>-</v>
      </c>
      <c r="L229" s="236" t="str">
        <f t="shared" si="40"/>
        <v>-</v>
      </c>
      <c r="M229" s="236" t="str">
        <f t="shared" si="41"/>
        <v>-</v>
      </c>
      <c r="N229" s="237" t="str">
        <f t="shared" si="50"/>
        <v>-</v>
      </c>
      <c r="AG229" s="17" t="s">
        <v>0</v>
      </c>
      <c r="AK229" s="239">
        <f t="shared" si="42"/>
        <v>0</v>
      </c>
      <c r="AL229" s="239">
        <f t="shared" si="43"/>
        <v>0</v>
      </c>
      <c r="AM229" s="239">
        <f t="shared" si="44"/>
        <v>0</v>
      </c>
      <c r="AN229" s="239">
        <f t="shared" si="45"/>
        <v>0</v>
      </c>
      <c r="AO229" s="239">
        <f t="shared" si="46"/>
        <v>0</v>
      </c>
      <c r="AP229" s="239">
        <f t="shared" si="47"/>
        <v>0</v>
      </c>
    </row>
    <row r="230" spans="2:42" x14ac:dyDescent="0.25">
      <c r="B230" s="695"/>
      <c r="C230" s="695"/>
      <c r="D230" s="691"/>
      <c r="E230" s="696"/>
      <c r="F230" s="691"/>
      <c r="G230" s="691"/>
      <c r="H230" s="233" t="str">
        <f>IF(B230="","",IF(OR(COUNTIF(B231:$B$246,B230)=0,AK230&lt;&gt;AK231),SUMIFS($G$217:$G$246,$B$217:$B$246,B230,$AK$217:$AK$246,AK230),""))</f>
        <v/>
      </c>
      <c r="I230" s="233" t="str">
        <f t="shared" si="48"/>
        <v/>
      </c>
      <c r="J230" s="234" t="str">
        <f t="shared" si="39"/>
        <v>-</v>
      </c>
      <c r="K230" s="235" t="str">
        <f t="shared" si="49"/>
        <v>-</v>
      </c>
      <c r="L230" s="236" t="str">
        <f t="shared" si="40"/>
        <v>-</v>
      </c>
      <c r="M230" s="236" t="str">
        <f t="shared" si="41"/>
        <v>-</v>
      </c>
      <c r="N230" s="237" t="str">
        <f t="shared" si="50"/>
        <v>-</v>
      </c>
      <c r="AG230" s="17" t="s">
        <v>0</v>
      </c>
      <c r="AK230" s="239">
        <f t="shared" si="42"/>
        <v>0</v>
      </c>
      <c r="AL230" s="239">
        <f t="shared" si="43"/>
        <v>0</v>
      </c>
      <c r="AM230" s="239">
        <f t="shared" si="44"/>
        <v>0</v>
      </c>
      <c r="AN230" s="239">
        <f t="shared" si="45"/>
        <v>0</v>
      </c>
      <c r="AO230" s="239">
        <f t="shared" si="46"/>
        <v>0</v>
      </c>
      <c r="AP230" s="239">
        <f t="shared" si="47"/>
        <v>0</v>
      </c>
    </row>
    <row r="231" spans="2:42" x14ac:dyDescent="0.25">
      <c r="B231" s="695"/>
      <c r="C231" s="695"/>
      <c r="D231" s="691"/>
      <c r="E231" s="696"/>
      <c r="F231" s="691"/>
      <c r="G231" s="691"/>
      <c r="H231" s="233" t="str">
        <f>IF(B231="","",IF(OR(COUNTIF(B232:$B$246,B231)=0,AK231&lt;&gt;AK232),SUMIFS($G$217:$G$246,$B$217:$B$246,B231,$AK$217:$AK$246,AK231),""))</f>
        <v/>
      </c>
      <c r="I231" s="233" t="str">
        <f t="shared" si="48"/>
        <v/>
      </c>
      <c r="J231" s="234" t="str">
        <f t="shared" si="39"/>
        <v>-</v>
      </c>
      <c r="K231" s="235" t="str">
        <f t="shared" si="49"/>
        <v>-</v>
      </c>
      <c r="L231" s="236" t="str">
        <f t="shared" si="40"/>
        <v>-</v>
      </c>
      <c r="M231" s="236" t="str">
        <f t="shared" si="41"/>
        <v>-</v>
      </c>
      <c r="N231" s="237" t="str">
        <f t="shared" si="50"/>
        <v>-</v>
      </c>
      <c r="AG231" s="17" t="s">
        <v>0</v>
      </c>
      <c r="AK231" s="239">
        <f t="shared" si="42"/>
        <v>0</v>
      </c>
      <c r="AL231" s="239">
        <f t="shared" si="43"/>
        <v>0</v>
      </c>
      <c r="AM231" s="239">
        <f t="shared" si="44"/>
        <v>0</v>
      </c>
      <c r="AN231" s="239">
        <f t="shared" si="45"/>
        <v>0</v>
      </c>
      <c r="AO231" s="239">
        <f t="shared" si="46"/>
        <v>0</v>
      </c>
      <c r="AP231" s="239">
        <f t="shared" si="47"/>
        <v>0</v>
      </c>
    </row>
    <row r="232" spans="2:42" x14ac:dyDescent="0.25">
      <c r="B232" s="691"/>
      <c r="C232" s="691"/>
      <c r="D232" s="691"/>
      <c r="E232" s="696"/>
      <c r="F232" s="697"/>
      <c r="G232" s="691"/>
      <c r="H232" s="233" t="str">
        <f>IF(B232="","",IF(OR(COUNTIF(B233:$B$246,B232)=0,AK232&lt;&gt;AK233),SUMIFS($G$217:$G$246,$B$217:$B$246,B232,$AK$217:$AK$246,AK232),""))</f>
        <v/>
      </c>
      <c r="I232" s="233" t="str">
        <f t="shared" si="48"/>
        <v/>
      </c>
      <c r="J232" s="234" t="str">
        <f t="shared" si="39"/>
        <v>-</v>
      </c>
      <c r="K232" s="235" t="str">
        <f t="shared" si="49"/>
        <v>-</v>
      </c>
      <c r="L232" s="236" t="str">
        <f t="shared" si="40"/>
        <v>-</v>
      </c>
      <c r="M232" s="236" t="str">
        <f t="shared" si="41"/>
        <v>-</v>
      </c>
      <c r="N232" s="237" t="str">
        <f t="shared" si="50"/>
        <v>-</v>
      </c>
      <c r="AG232" s="17" t="s">
        <v>0</v>
      </c>
      <c r="AK232" s="239">
        <f t="shared" si="42"/>
        <v>0</v>
      </c>
      <c r="AL232" s="239">
        <f t="shared" si="43"/>
        <v>0</v>
      </c>
      <c r="AM232" s="239">
        <f t="shared" si="44"/>
        <v>0</v>
      </c>
      <c r="AN232" s="239">
        <f t="shared" si="45"/>
        <v>0</v>
      </c>
      <c r="AO232" s="239">
        <f t="shared" si="46"/>
        <v>0</v>
      </c>
      <c r="AP232" s="239">
        <f t="shared" si="47"/>
        <v>0</v>
      </c>
    </row>
    <row r="233" spans="2:42" x14ac:dyDescent="0.25">
      <c r="B233" s="691"/>
      <c r="C233" s="691"/>
      <c r="D233" s="691"/>
      <c r="E233" s="696"/>
      <c r="F233" s="691"/>
      <c r="G233" s="691"/>
      <c r="H233" s="233" t="str">
        <f>IF(B233="","",IF(OR(COUNTIF(B234:$B$246,B233)=0,AK233&lt;&gt;AK234),SUMIFS($G$217:$G$246,$B$217:$B$246,B233,$AK$217:$AK$246,AK233),""))</f>
        <v/>
      </c>
      <c r="I233" s="233" t="str">
        <f t="shared" si="48"/>
        <v/>
      </c>
      <c r="J233" s="234" t="str">
        <f t="shared" si="39"/>
        <v>-</v>
      </c>
      <c r="K233" s="235" t="str">
        <f t="shared" si="49"/>
        <v>-</v>
      </c>
      <c r="L233" s="236" t="str">
        <f t="shared" si="40"/>
        <v>-</v>
      </c>
      <c r="M233" s="236" t="str">
        <f t="shared" si="41"/>
        <v>-</v>
      </c>
      <c r="N233" s="237" t="str">
        <f t="shared" si="50"/>
        <v>-</v>
      </c>
      <c r="AG233" s="17" t="s">
        <v>0</v>
      </c>
      <c r="AK233" s="239">
        <f t="shared" si="42"/>
        <v>0</v>
      </c>
      <c r="AL233" s="239">
        <f t="shared" si="43"/>
        <v>0</v>
      </c>
      <c r="AM233" s="239">
        <f t="shared" si="44"/>
        <v>0</v>
      </c>
      <c r="AN233" s="239">
        <f t="shared" si="45"/>
        <v>0</v>
      </c>
      <c r="AO233" s="239">
        <f t="shared" si="46"/>
        <v>0</v>
      </c>
      <c r="AP233" s="239">
        <f t="shared" si="47"/>
        <v>0</v>
      </c>
    </row>
    <row r="234" spans="2:42" x14ac:dyDescent="0.25">
      <c r="B234" s="691"/>
      <c r="C234" s="691"/>
      <c r="D234" s="691"/>
      <c r="E234" s="696"/>
      <c r="F234" s="691"/>
      <c r="G234" s="691"/>
      <c r="H234" s="233" t="str">
        <f>IF(B234="","",IF(OR(COUNTIF(B235:$B$246,B234)=0,AK234&lt;&gt;AK235),SUMIFS($G$217:$G$246,$B$217:$B$246,B234,$AK$217:$AK$246,AK234),""))</f>
        <v/>
      </c>
      <c r="I234" s="233" t="str">
        <f t="shared" si="48"/>
        <v/>
      </c>
      <c r="J234" s="234" t="str">
        <f t="shared" si="39"/>
        <v>-</v>
      </c>
      <c r="K234" s="235" t="str">
        <f t="shared" si="49"/>
        <v>-</v>
      </c>
      <c r="L234" s="236" t="str">
        <f t="shared" si="40"/>
        <v>-</v>
      </c>
      <c r="M234" s="236" t="str">
        <f t="shared" si="41"/>
        <v>-</v>
      </c>
      <c r="N234" s="237" t="str">
        <f t="shared" si="50"/>
        <v>-</v>
      </c>
      <c r="AG234" s="17" t="s">
        <v>0</v>
      </c>
      <c r="AK234" s="239">
        <f t="shared" si="42"/>
        <v>0</v>
      </c>
      <c r="AL234" s="239">
        <f t="shared" si="43"/>
        <v>0</v>
      </c>
      <c r="AM234" s="239">
        <f t="shared" si="44"/>
        <v>0</v>
      </c>
      <c r="AN234" s="239">
        <f t="shared" si="45"/>
        <v>0</v>
      </c>
      <c r="AO234" s="239">
        <f t="shared" si="46"/>
        <v>0</v>
      </c>
      <c r="AP234" s="239">
        <f t="shared" si="47"/>
        <v>0</v>
      </c>
    </row>
    <row r="235" spans="2:42" x14ac:dyDescent="0.25">
      <c r="B235" s="691"/>
      <c r="C235" s="691"/>
      <c r="D235" s="691"/>
      <c r="E235" s="696"/>
      <c r="F235" s="691"/>
      <c r="G235" s="691"/>
      <c r="H235" s="233" t="str">
        <f>IF(B235="","",IF(OR(COUNTIF(B236:$B$246,B235)=0,AK235&lt;&gt;AK236),SUMIFS($G$217:$G$246,$B$217:$B$246,B235,$AK$217:$AK$246,AK235),""))</f>
        <v/>
      </c>
      <c r="I235" s="233" t="str">
        <f t="shared" si="48"/>
        <v/>
      </c>
      <c r="J235" s="234" t="str">
        <f t="shared" si="39"/>
        <v>-</v>
      </c>
      <c r="K235" s="235" t="str">
        <f t="shared" si="49"/>
        <v>-</v>
      </c>
      <c r="L235" s="236" t="str">
        <f t="shared" si="40"/>
        <v>-</v>
      </c>
      <c r="M235" s="236" t="str">
        <f t="shared" si="41"/>
        <v>-</v>
      </c>
      <c r="N235" s="237" t="str">
        <f t="shared" si="50"/>
        <v>-</v>
      </c>
      <c r="AG235" s="17" t="s">
        <v>0</v>
      </c>
      <c r="AK235" s="239">
        <f t="shared" si="42"/>
        <v>0</v>
      </c>
      <c r="AL235" s="239">
        <f t="shared" si="43"/>
        <v>0</v>
      </c>
      <c r="AM235" s="239">
        <f t="shared" si="44"/>
        <v>0</v>
      </c>
      <c r="AN235" s="239">
        <f t="shared" si="45"/>
        <v>0</v>
      </c>
      <c r="AO235" s="239">
        <f t="shared" si="46"/>
        <v>0</v>
      </c>
      <c r="AP235" s="239">
        <f t="shared" si="47"/>
        <v>0</v>
      </c>
    </row>
    <row r="236" spans="2:42" x14ac:dyDescent="0.25">
      <c r="B236" s="691"/>
      <c r="C236" s="691"/>
      <c r="D236" s="691"/>
      <c r="E236" s="696"/>
      <c r="F236" s="691"/>
      <c r="G236" s="691"/>
      <c r="H236" s="233" t="str">
        <f>IF(B236="","",IF(OR(COUNTIF(B237:$B$246,B236)=0,AK236&lt;&gt;AK237),SUMIFS($G$217:$G$246,$B$217:$B$246,B236,$AK$217:$AK$246,AK236),""))</f>
        <v/>
      </c>
      <c r="I236" s="233" t="str">
        <f t="shared" si="48"/>
        <v/>
      </c>
      <c r="J236" s="234" t="str">
        <f t="shared" si="39"/>
        <v>-</v>
      </c>
      <c r="K236" s="235" t="str">
        <f t="shared" si="49"/>
        <v>-</v>
      </c>
      <c r="L236" s="236" t="str">
        <f t="shared" si="40"/>
        <v>-</v>
      </c>
      <c r="M236" s="236" t="str">
        <f t="shared" si="41"/>
        <v>-</v>
      </c>
      <c r="N236" s="237" t="str">
        <f t="shared" si="50"/>
        <v>-</v>
      </c>
      <c r="AG236" s="17" t="s">
        <v>0</v>
      </c>
      <c r="AK236" s="239">
        <f t="shared" si="42"/>
        <v>0</v>
      </c>
      <c r="AL236" s="239">
        <f t="shared" si="43"/>
        <v>0</v>
      </c>
      <c r="AM236" s="239">
        <f t="shared" si="44"/>
        <v>0</v>
      </c>
      <c r="AN236" s="239">
        <f t="shared" si="45"/>
        <v>0</v>
      </c>
      <c r="AO236" s="239">
        <f t="shared" si="46"/>
        <v>0</v>
      </c>
      <c r="AP236" s="239">
        <f t="shared" si="47"/>
        <v>0</v>
      </c>
    </row>
    <row r="237" spans="2:42" x14ac:dyDescent="0.25">
      <c r="B237" s="691"/>
      <c r="C237" s="691"/>
      <c r="D237" s="691"/>
      <c r="E237" s="696"/>
      <c r="F237" s="691"/>
      <c r="G237" s="691"/>
      <c r="H237" s="233" t="str">
        <f>IF(B237="","",IF(OR(COUNTIF(B238:$B$246,B237)=0,AK237&lt;&gt;AK238),SUMIFS($G$217:$G$246,$B$217:$B$246,B237,$AK$217:$AK$246,AK237),""))</f>
        <v/>
      </c>
      <c r="I237" s="233" t="str">
        <f t="shared" si="48"/>
        <v/>
      </c>
      <c r="J237" s="234" t="str">
        <f t="shared" si="39"/>
        <v>-</v>
      </c>
      <c r="K237" s="235" t="str">
        <f t="shared" si="49"/>
        <v>-</v>
      </c>
      <c r="L237" s="236" t="str">
        <f t="shared" si="40"/>
        <v>-</v>
      </c>
      <c r="M237" s="236" t="str">
        <f t="shared" si="41"/>
        <v>-</v>
      </c>
      <c r="N237" s="237" t="str">
        <f t="shared" si="50"/>
        <v>-</v>
      </c>
      <c r="AG237" s="17" t="s">
        <v>0</v>
      </c>
      <c r="AK237" s="239">
        <f t="shared" si="42"/>
        <v>0</v>
      </c>
      <c r="AL237" s="239">
        <f t="shared" si="43"/>
        <v>0</v>
      </c>
      <c r="AM237" s="239">
        <f t="shared" si="44"/>
        <v>0</v>
      </c>
      <c r="AN237" s="239">
        <f t="shared" si="45"/>
        <v>0</v>
      </c>
      <c r="AO237" s="239">
        <f t="shared" si="46"/>
        <v>0</v>
      </c>
      <c r="AP237" s="239">
        <f t="shared" si="47"/>
        <v>0</v>
      </c>
    </row>
    <row r="238" spans="2:42" x14ac:dyDescent="0.25">
      <c r="B238" s="691"/>
      <c r="C238" s="691"/>
      <c r="D238" s="691"/>
      <c r="E238" s="696"/>
      <c r="F238" s="691"/>
      <c r="G238" s="691"/>
      <c r="H238" s="233" t="str">
        <f>IF(B238="","",IF(OR(COUNTIF(B239:$B$246,B238)=0,AK238&lt;&gt;AK239),SUMIFS($G$217:$G$246,$B$217:$B$246,B238,$AK$217:$AK$246,AK238),""))</f>
        <v/>
      </c>
      <c r="I238" s="233" t="str">
        <f t="shared" si="48"/>
        <v/>
      </c>
      <c r="J238" s="234" t="str">
        <f t="shared" si="39"/>
        <v>-</v>
      </c>
      <c r="K238" s="235" t="str">
        <f t="shared" si="49"/>
        <v>-</v>
      </c>
      <c r="L238" s="236" t="str">
        <f t="shared" si="40"/>
        <v>-</v>
      </c>
      <c r="M238" s="236" t="str">
        <f t="shared" si="41"/>
        <v>-</v>
      </c>
      <c r="N238" s="237" t="str">
        <f t="shared" si="50"/>
        <v>-</v>
      </c>
      <c r="AG238" s="17" t="s">
        <v>0</v>
      </c>
      <c r="AK238" s="239">
        <f t="shared" si="42"/>
        <v>0</v>
      </c>
      <c r="AL238" s="239">
        <f t="shared" si="43"/>
        <v>0</v>
      </c>
      <c r="AM238" s="239">
        <f t="shared" si="44"/>
        <v>0</v>
      </c>
      <c r="AN238" s="239">
        <f t="shared" si="45"/>
        <v>0</v>
      </c>
      <c r="AO238" s="239">
        <f t="shared" si="46"/>
        <v>0</v>
      </c>
      <c r="AP238" s="239">
        <f t="shared" si="47"/>
        <v>0</v>
      </c>
    </row>
    <row r="239" spans="2:42" x14ac:dyDescent="0.25">
      <c r="B239" s="691"/>
      <c r="C239" s="691"/>
      <c r="D239" s="691"/>
      <c r="E239" s="696"/>
      <c r="F239" s="691"/>
      <c r="G239" s="691"/>
      <c r="H239" s="233" t="str">
        <f>IF(B239="","",IF(OR(COUNTIF(B240:$B$246,B239)=0,AK239&lt;&gt;AK240),SUMIFS($G$217:$G$246,$B$217:$B$246,B239,$AK$217:$AK$246,AK239),""))</f>
        <v/>
      </c>
      <c r="I239" s="233" t="str">
        <f t="shared" si="48"/>
        <v/>
      </c>
      <c r="J239" s="234" t="str">
        <f t="shared" si="39"/>
        <v>-</v>
      </c>
      <c r="K239" s="235" t="str">
        <f t="shared" si="49"/>
        <v>-</v>
      </c>
      <c r="L239" s="236" t="str">
        <f t="shared" si="40"/>
        <v>-</v>
      </c>
      <c r="M239" s="236" t="str">
        <f t="shared" si="41"/>
        <v>-</v>
      </c>
      <c r="N239" s="237" t="str">
        <f t="shared" si="50"/>
        <v>-</v>
      </c>
      <c r="AG239" s="17" t="s">
        <v>0</v>
      </c>
      <c r="AK239" s="239">
        <f t="shared" si="42"/>
        <v>0</v>
      </c>
      <c r="AL239" s="239">
        <f t="shared" si="43"/>
        <v>0</v>
      </c>
      <c r="AM239" s="239">
        <f t="shared" si="44"/>
        <v>0</v>
      </c>
      <c r="AN239" s="239">
        <f t="shared" si="45"/>
        <v>0</v>
      </c>
      <c r="AO239" s="239">
        <f t="shared" si="46"/>
        <v>0</v>
      </c>
      <c r="AP239" s="239">
        <f t="shared" si="47"/>
        <v>0</v>
      </c>
    </row>
    <row r="240" spans="2:42" x14ac:dyDescent="0.25">
      <c r="B240" s="691"/>
      <c r="C240" s="691"/>
      <c r="D240" s="691"/>
      <c r="E240" s="696"/>
      <c r="F240" s="691"/>
      <c r="G240" s="691"/>
      <c r="H240" s="233" t="str">
        <f>IF(B240="","",IF(OR(COUNTIF(B241:$B$246,B240)=0,AK240&lt;&gt;AK241),SUMIFS($G$217:$G$246,$B$217:$B$246,B240,$AK$217:$AK$246,AK240),""))</f>
        <v/>
      </c>
      <c r="I240" s="233" t="str">
        <f t="shared" si="48"/>
        <v/>
      </c>
      <c r="J240" s="234" t="str">
        <f t="shared" si="39"/>
        <v>-</v>
      </c>
      <c r="K240" s="235" t="str">
        <f t="shared" si="49"/>
        <v>-</v>
      </c>
      <c r="L240" s="236" t="str">
        <f t="shared" si="40"/>
        <v>-</v>
      </c>
      <c r="M240" s="236" t="str">
        <f t="shared" si="41"/>
        <v>-</v>
      </c>
      <c r="N240" s="237" t="str">
        <f t="shared" si="50"/>
        <v>-</v>
      </c>
      <c r="AG240" s="17" t="s">
        <v>0</v>
      </c>
      <c r="AK240" s="239">
        <f t="shared" si="42"/>
        <v>0</v>
      </c>
      <c r="AL240" s="239">
        <f t="shared" si="43"/>
        <v>0</v>
      </c>
      <c r="AM240" s="239">
        <f t="shared" si="44"/>
        <v>0</v>
      </c>
      <c r="AN240" s="239">
        <f t="shared" si="45"/>
        <v>0</v>
      </c>
      <c r="AO240" s="239">
        <f t="shared" si="46"/>
        <v>0</v>
      </c>
      <c r="AP240" s="239">
        <f t="shared" si="47"/>
        <v>0</v>
      </c>
    </row>
    <row r="241" spans="2:42" x14ac:dyDescent="0.25">
      <c r="B241" s="691"/>
      <c r="C241" s="691"/>
      <c r="D241" s="691"/>
      <c r="E241" s="696"/>
      <c r="F241" s="691"/>
      <c r="G241" s="691"/>
      <c r="H241" s="233" t="str">
        <f>IF(B241="","",IF(OR(COUNTIF(B242:$B$246,B241)=0,AK241&lt;&gt;AK242),SUMIFS($G$217:$G$246,$B$217:$B$246,B241,$AK$217:$AK$246,AK241),""))</f>
        <v/>
      </c>
      <c r="I241" s="233" t="str">
        <f t="shared" si="48"/>
        <v/>
      </c>
      <c r="J241" s="234" t="str">
        <f t="shared" si="39"/>
        <v>-</v>
      </c>
      <c r="K241" s="235" t="str">
        <f t="shared" si="49"/>
        <v>-</v>
      </c>
      <c r="L241" s="236" t="str">
        <f t="shared" si="40"/>
        <v>-</v>
      </c>
      <c r="M241" s="236" t="str">
        <f t="shared" si="41"/>
        <v>-</v>
      </c>
      <c r="N241" s="237" t="str">
        <f t="shared" si="50"/>
        <v>-</v>
      </c>
      <c r="AG241" s="17" t="s">
        <v>0</v>
      </c>
      <c r="AK241" s="239">
        <f t="shared" si="42"/>
        <v>0</v>
      </c>
      <c r="AL241" s="239">
        <f t="shared" si="43"/>
        <v>0</v>
      </c>
      <c r="AM241" s="239">
        <f t="shared" si="44"/>
        <v>0</v>
      </c>
      <c r="AN241" s="239">
        <f t="shared" si="45"/>
        <v>0</v>
      </c>
      <c r="AO241" s="239">
        <f t="shared" si="46"/>
        <v>0</v>
      </c>
      <c r="AP241" s="239">
        <f t="shared" si="47"/>
        <v>0</v>
      </c>
    </row>
    <row r="242" spans="2:42" x14ac:dyDescent="0.25">
      <c r="B242" s="691"/>
      <c r="C242" s="691"/>
      <c r="D242" s="691"/>
      <c r="E242" s="696"/>
      <c r="F242" s="691"/>
      <c r="G242" s="691"/>
      <c r="H242" s="233" t="str">
        <f>IF(B242="","",IF(OR(COUNTIF(B243:$B$246,B242)=0,AK242&lt;&gt;AK243),SUMIFS($G$217:$G$246,$B$217:$B$246,B242,$AK$217:$AK$246,AK242),""))</f>
        <v/>
      </c>
      <c r="I242" s="233" t="str">
        <f t="shared" si="48"/>
        <v/>
      </c>
      <c r="J242" s="234" t="str">
        <f t="shared" si="39"/>
        <v>-</v>
      </c>
      <c r="K242" s="235" t="str">
        <f t="shared" si="49"/>
        <v>-</v>
      </c>
      <c r="L242" s="236" t="str">
        <f t="shared" si="40"/>
        <v>-</v>
      </c>
      <c r="M242" s="236" t="str">
        <f t="shared" si="41"/>
        <v>-</v>
      </c>
      <c r="N242" s="237" t="str">
        <f t="shared" si="50"/>
        <v>-</v>
      </c>
      <c r="AG242" s="17" t="s">
        <v>0</v>
      </c>
      <c r="AK242" s="239">
        <f t="shared" si="42"/>
        <v>0</v>
      </c>
      <c r="AL242" s="239">
        <f t="shared" si="43"/>
        <v>0</v>
      </c>
      <c r="AM242" s="239">
        <f t="shared" si="44"/>
        <v>0</v>
      </c>
      <c r="AN242" s="239">
        <f t="shared" si="45"/>
        <v>0</v>
      </c>
      <c r="AO242" s="239">
        <f t="shared" si="46"/>
        <v>0</v>
      </c>
      <c r="AP242" s="239">
        <f t="shared" si="47"/>
        <v>0</v>
      </c>
    </row>
    <row r="243" spans="2:42" x14ac:dyDescent="0.25">
      <c r="B243" s="691"/>
      <c r="C243" s="691"/>
      <c r="D243" s="691"/>
      <c r="E243" s="696"/>
      <c r="F243" s="691"/>
      <c r="G243" s="691"/>
      <c r="H243" s="233" t="str">
        <f>IF(B243="","",IF(OR(COUNTIF(B244:$B$246,B243)=0,AK243&lt;&gt;AK244),SUMIFS($G$217:$G$246,$B$217:$B$246,B243,$AK$217:$AK$246,AK243),""))</f>
        <v/>
      </c>
      <c r="I243" s="233" t="str">
        <f t="shared" si="48"/>
        <v/>
      </c>
      <c r="J243" s="234" t="str">
        <f t="shared" si="39"/>
        <v>-</v>
      </c>
      <c r="K243" s="235" t="str">
        <f t="shared" si="49"/>
        <v>-</v>
      </c>
      <c r="L243" s="236" t="str">
        <f t="shared" si="40"/>
        <v>-</v>
      </c>
      <c r="M243" s="236" t="str">
        <f t="shared" si="41"/>
        <v>-</v>
      </c>
      <c r="N243" s="237" t="str">
        <f t="shared" si="50"/>
        <v>-</v>
      </c>
      <c r="AG243" s="17" t="s">
        <v>0</v>
      </c>
      <c r="AK243" s="239">
        <f t="shared" si="42"/>
        <v>0</v>
      </c>
      <c r="AL243" s="239">
        <f t="shared" si="43"/>
        <v>0</v>
      </c>
      <c r="AM243" s="239">
        <f t="shared" si="44"/>
        <v>0</v>
      </c>
      <c r="AN243" s="239">
        <f t="shared" si="45"/>
        <v>0</v>
      </c>
      <c r="AO243" s="239">
        <f t="shared" si="46"/>
        <v>0</v>
      </c>
      <c r="AP243" s="239">
        <f t="shared" si="47"/>
        <v>0</v>
      </c>
    </row>
    <row r="244" spans="2:42" x14ac:dyDescent="0.25">
      <c r="B244" s="691"/>
      <c r="C244" s="691"/>
      <c r="D244" s="691"/>
      <c r="E244" s="696"/>
      <c r="F244" s="691"/>
      <c r="G244" s="691"/>
      <c r="H244" s="233" t="str">
        <f>IF(B244="","",IF(OR(COUNTIF(B245:$B$246,B244)=0,AK244&lt;&gt;AK245),SUMIFS($G$217:$G$246,$B$217:$B$246,B244,$AK$217:$AK$246,AK244),""))</f>
        <v/>
      </c>
      <c r="I244" s="233" t="str">
        <f t="shared" si="48"/>
        <v/>
      </c>
      <c r="J244" s="234" t="str">
        <f t="shared" si="39"/>
        <v>-</v>
      </c>
      <c r="K244" s="235" t="str">
        <f t="shared" si="49"/>
        <v>-</v>
      </c>
      <c r="L244" s="236" t="str">
        <f t="shared" si="40"/>
        <v>-</v>
      </c>
      <c r="M244" s="236" t="str">
        <f t="shared" si="41"/>
        <v>-</v>
      </c>
      <c r="N244" s="237" t="str">
        <f t="shared" si="50"/>
        <v>-</v>
      </c>
      <c r="AG244" s="17" t="s">
        <v>0</v>
      </c>
      <c r="AK244" s="239">
        <f t="shared" si="42"/>
        <v>0</v>
      </c>
      <c r="AL244" s="239">
        <f t="shared" si="43"/>
        <v>0</v>
      </c>
      <c r="AM244" s="239">
        <f t="shared" si="44"/>
        <v>0</v>
      </c>
      <c r="AN244" s="239">
        <f t="shared" si="45"/>
        <v>0</v>
      </c>
      <c r="AO244" s="239">
        <f t="shared" si="46"/>
        <v>0</v>
      </c>
      <c r="AP244" s="239">
        <f t="shared" si="47"/>
        <v>0</v>
      </c>
    </row>
    <row r="245" spans="2:42" x14ac:dyDescent="0.25">
      <c r="B245" s="691"/>
      <c r="C245" s="691"/>
      <c r="D245" s="691"/>
      <c r="E245" s="696"/>
      <c r="F245" s="691"/>
      <c r="G245" s="691"/>
      <c r="H245" s="233" t="str">
        <f>IF(B245="","",IF(OR(COUNTIF(B246:$B$246,B245)=0,AK245&lt;&gt;AK246),SUMIFS($G$217:$G$246,$B$217:$B$246,B245,$AK$217:$AK$246,AK245),""))</f>
        <v/>
      </c>
      <c r="I245" s="233" t="str">
        <f t="shared" si="48"/>
        <v/>
      </c>
      <c r="J245" s="234" t="str">
        <f t="shared" si="39"/>
        <v>-</v>
      </c>
      <c r="K245" s="235" t="str">
        <f t="shared" si="49"/>
        <v>-</v>
      </c>
      <c r="L245" s="236" t="str">
        <f t="shared" si="40"/>
        <v>-</v>
      </c>
      <c r="M245" s="236" t="str">
        <f t="shared" si="41"/>
        <v>-</v>
      </c>
      <c r="N245" s="237" t="str">
        <f t="shared" si="50"/>
        <v>-</v>
      </c>
      <c r="AG245" s="17" t="s">
        <v>0</v>
      </c>
      <c r="AK245" s="239">
        <f t="shared" si="42"/>
        <v>0</v>
      </c>
      <c r="AL245" s="239">
        <f t="shared" si="43"/>
        <v>0</v>
      </c>
      <c r="AM245" s="239">
        <f t="shared" si="44"/>
        <v>0</v>
      </c>
      <c r="AN245" s="239">
        <f t="shared" si="45"/>
        <v>0</v>
      </c>
      <c r="AO245" s="239">
        <f t="shared" si="46"/>
        <v>0</v>
      </c>
      <c r="AP245" s="239">
        <f t="shared" si="47"/>
        <v>0</v>
      </c>
    </row>
    <row r="246" spans="2:42" x14ac:dyDescent="0.25">
      <c r="B246" s="698"/>
      <c r="C246" s="698"/>
      <c r="D246" s="698"/>
      <c r="E246" s="699"/>
      <c r="F246" s="698"/>
      <c r="G246" s="698"/>
      <c r="H246" s="243" t="str">
        <f>IF(B246="","",IF(OR(COUNTIF(B$246:$B247,B246)=0,AK246&lt;&gt;O247),SUMIFS($G$217:$G$246,$B$217:$B$246,B246,$AK$217:$AK$246,AK246),""))</f>
        <v/>
      </c>
      <c r="I246" s="243" t="str">
        <f t="shared" si="48"/>
        <v/>
      </c>
      <c r="J246" s="244" t="str">
        <f t="shared" si="39"/>
        <v>-</v>
      </c>
      <c r="K246" s="245" t="str">
        <f t="shared" si="49"/>
        <v>-</v>
      </c>
      <c r="L246" s="247" t="str">
        <f t="shared" si="40"/>
        <v>-</v>
      </c>
      <c r="M246" s="247" t="str">
        <f t="shared" si="41"/>
        <v>-</v>
      </c>
      <c r="N246" s="249" t="str">
        <f t="shared" si="50"/>
        <v>-</v>
      </c>
      <c r="AG246" s="17" t="s">
        <v>0</v>
      </c>
      <c r="AK246" s="239">
        <f t="shared" si="42"/>
        <v>0</v>
      </c>
      <c r="AL246" s="239">
        <f t="shared" si="43"/>
        <v>0</v>
      </c>
      <c r="AM246" s="239">
        <f t="shared" si="44"/>
        <v>0</v>
      </c>
      <c r="AN246" s="239">
        <f t="shared" si="45"/>
        <v>0</v>
      </c>
      <c r="AO246" s="239">
        <f t="shared" si="46"/>
        <v>0</v>
      </c>
      <c r="AP246" s="239">
        <f t="shared" si="47"/>
        <v>0</v>
      </c>
    </row>
    <row r="247" spans="2:42" x14ac:dyDescent="0.25">
      <c r="D247" s="228"/>
      <c r="E247" s="228"/>
      <c r="F247" s="228"/>
      <c r="G247" s="228"/>
      <c r="H247" s="228"/>
      <c r="I247" s="228"/>
      <c r="O247" s="239"/>
      <c r="P247" s="239"/>
      <c r="Q247" s="239"/>
      <c r="R247" s="239"/>
      <c r="S247" s="239"/>
      <c r="T247" s="239"/>
      <c r="AG247" s="17" t="s">
        <v>0</v>
      </c>
    </row>
    <row r="248" spans="2:42" x14ac:dyDescent="0.25">
      <c r="D248" s="228"/>
      <c r="E248" s="228"/>
      <c r="F248" s="228"/>
      <c r="G248" s="228"/>
      <c r="H248" s="228"/>
      <c r="I248" s="228"/>
      <c r="O248" s="239"/>
      <c r="P248" s="239"/>
      <c r="Q248" s="239"/>
      <c r="R248" s="239"/>
      <c r="S248" s="239"/>
      <c r="T248" s="239"/>
      <c r="AG248" s="17" t="s">
        <v>0</v>
      </c>
    </row>
    <row r="249" spans="2:42" x14ac:dyDescent="0.25">
      <c r="D249" s="228"/>
      <c r="E249" s="228"/>
      <c r="F249" s="228"/>
      <c r="G249" s="228"/>
      <c r="H249" s="228"/>
      <c r="I249" s="228"/>
      <c r="AG249" s="17" t="s">
        <v>0</v>
      </c>
    </row>
    <row r="250" spans="2:42" x14ac:dyDescent="0.25">
      <c r="B250" s="762" t="s">
        <v>269</v>
      </c>
      <c r="C250" s="771"/>
      <c r="D250" s="771"/>
      <c r="E250" s="763"/>
      <c r="F250"/>
      <c r="G250"/>
      <c r="AG250" s="17" t="s">
        <v>0</v>
      </c>
    </row>
    <row r="251" spans="2:42" x14ac:dyDescent="0.25">
      <c r="B251" s="79"/>
      <c r="C251" s="224" t="s">
        <v>239</v>
      </c>
      <c r="D251" s="224" t="s">
        <v>243</v>
      </c>
      <c r="E251" s="224" t="s">
        <v>244</v>
      </c>
      <c r="F251"/>
      <c r="G251"/>
      <c r="AG251" s="17" t="s">
        <v>0</v>
      </c>
    </row>
    <row r="252" spans="2:42" x14ac:dyDescent="0.25">
      <c r="B252" s="212" t="s">
        <v>233</v>
      </c>
      <c r="C252" s="222"/>
      <c r="D252" s="225"/>
      <c r="E252" s="226"/>
      <c r="F252"/>
      <c r="G252"/>
      <c r="AG252" s="17" t="s">
        <v>0</v>
      </c>
    </row>
    <row r="253" spans="2:42" x14ac:dyDescent="0.25">
      <c r="B253" s="211" t="s">
        <v>231</v>
      </c>
      <c r="C253" s="221">
        <v>0.25</v>
      </c>
      <c r="D253" s="79"/>
      <c r="E253" s="83"/>
      <c r="F253"/>
      <c r="G253"/>
      <c r="AG253" s="17" t="s">
        <v>0</v>
      </c>
    </row>
    <row r="254" spans="2:42" x14ac:dyDescent="0.25">
      <c r="B254" s="210" t="s">
        <v>245</v>
      </c>
      <c r="C254" s="79"/>
      <c r="D254" s="205"/>
      <c r="E254" s="205"/>
      <c r="F254"/>
      <c r="G254"/>
      <c r="AG254" s="17" t="s">
        <v>0</v>
      </c>
    </row>
    <row r="255" spans="2:42" x14ac:dyDescent="0.25">
      <c r="B255" s="212" t="s">
        <v>234</v>
      </c>
      <c r="C255" s="79"/>
      <c r="D255" s="621">
        <f>C252*(-C253)-D254</f>
        <v>0</v>
      </c>
      <c r="E255" s="621">
        <f>C252*C253-E254</f>
        <v>0</v>
      </c>
      <c r="F255"/>
      <c r="G255"/>
      <c r="AG255" s="17" t="s">
        <v>0</v>
      </c>
    </row>
    <row r="256" spans="2:42" x14ac:dyDescent="0.25">
      <c r="B256" s="51" t="s">
        <v>235</v>
      </c>
      <c r="C256" s="79"/>
      <c r="D256" s="666">
        <f>C252-D255</f>
        <v>0</v>
      </c>
      <c r="E256" s="666">
        <f>C252-E255</f>
        <v>0</v>
      </c>
      <c r="F256"/>
      <c r="G256"/>
      <c r="AG256" s="17" t="s">
        <v>0</v>
      </c>
    </row>
    <row r="257" spans="1:33" x14ac:dyDescent="0.25">
      <c r="E257"/>
      <c r="F257"/>
      <c r="G257"/>
      <c r="AG257" s="17" t="s">
        <v>0</v>
      </c>
    </row>
    <row r="258" spans="1:33" x14ac:dyDescent="0.25">
      <c r="E258"/>
      <c r="F258"/>
      <c r="G258"/>
      <c r="AG258" s="17" t="s">
        <v>0</v>
      </c>
    </row>
    <row r="259" spans="1:33" x14ac:dyDescent="0.25">
      <c r="E259"/>
      <c r="F259"/>
      <c r="G259"/>
      <c r="AG259" s="17" t="s">
        <v>0</v>
      </c>
    </row>
    <row r="260" spans="1:33" x14ac:dyDescent="0.25">
      <c r="A260" s="17" t="s">
        <v>0</v>
      </c>
      <c r="B260" s="17" t="s">
        <v>0</v>
      </c>
      <c r="C260" s="17" t="s">
        <v>0</v>
      </c>
      <c r="D260" s="17" t="s">
        <v>0</v>
      </c>
      <c r="E260" s="17" t="s">
        <v>0</v>
      </c>
      <c r="F260" s="17" t="s">
        <v>0</v>
      </c>
      <c r="G260" s="17" t="s">
        <v>0</v>
      </c>
      <c r="H260" s="17" t="s">
        <v>0</v>
      </c>
      <c r="I260" s="17" t="s">
        <v>0</v>
      </c>
      <c r="J260" s="17" t="s">
        <v>0</v>
      </c>
      <c r="K260" s="17" t="s">
        <v>0</v>
      </c>
      <c r="L260" s="17" t="s">
        <v>0</v>
      </c>
      <c r="M260" s="17" t="s">
        <v>0</v>
      </c>
      <c r="N260" s="17" t="s">
        <v>0</v>
      </c>
      <c r="O260" s="17" t="s">
        <v>0</v>
      </c>
      <c r="P260" s="17" t="s">
        <v>0</v>
      </c>
      <c r="Q260" s="17" t="s">
        <v>0</v>
      </c>
      <c r="R260" s="17" t="s">
        <v>0</v>
      </c>
      <c r="S260" s="17" t="s">
        <v>0</v>
      </c>
      <c r="T260" s="17" t="s">
        <v>0</v>
      </c>
      <c r="U260" s="17" t="s">
        <v>0</v>
      </c>
      <c r="V260" s="17" t="s">
        <v>0</v>
      </c>
      <c r="W260" s="17" t="s">
        <v>0</v>
      </c>
      <c r="X260" s="17" t="s">
        <v>0</v>
      </c>
      <c r="Y260" s="17" t="s">
        <v>0</v>
      </c>
      <c r="Z260" s="17" t="s">
        <v>0</v>
      </c>
      <c r="AA260" s="17" t="s">
        <v>0</v>
      </c>
      <c r="AB260" s="17" t="s">
        <v>0</v>
      </c>
      <c r="AC260" s="17" t="s">
        <v>0</v>
      </c>
      <c r="AD260" s="17" t="s">
        <v>0</v>
      </c>
      <c r="AE260" s="17" t="s">
        <v>0</v>
      </c>
      <c r="AF260" s="17" t="s">
        <v>0</v>
      </c>
      <c r="AG260" s="17" t="s">
        <v>0</v>
      </c>
    </row>
  </sheetData>
  <mergeCells count="35">
    <mergeCell ref="G163:G164"/>
    <mergeCell ref="I119:M119"/>
    <mergeCell ref="B120:B121"/>
    <mergeCell ref="B250:E250"/>
    <mergeCell ref="B193:N193"/>
    <mergeCell ref="B162:G162"/>
    <mergeCell ref="L120:L121"/>
    <mergeCell ref="C154:C155"/>
    <mergeCell ref="D154:D155"/>
    <mergeCell ref="E154:E155"/>
    <mergeCell ref="G154:G155"/>
    <mergeCell ref="B153:G153"/>
    <mergeCell ref="Y2:Z2"/>
    <mergeCell ref="B81:C81"/>
    <mergeCell ref="B175:E175"/>
    <mergeCell ref="I92:J92"/>
    <mergeCell ref="G120:G121"/>
    <mergeCell ref="I120:I121"/>
    <mergeCell ref="J120:J121"/>
    <mergeCell ref="B173:F173"/>
    <mergeCell ref="C163:C164"/>
    <mergeCell ref="D163:D164"/>
    <mergeCell ref="E163:E164"/>
    <mergeCell ref="F163:F164"/>
    <mergeCell ref="L17:M17"/>
    <mergeCell ref="B90:M90"/>
    <mergeCell ref="F73:G73"/>
    <mergeCell ref="B154:B155"/>
    <mergeCell ref="B92:E92"/>
    <mergeCell ref="K120:K121"/>
    <mergeCell ref="F120:F121"/>
    <mergeCell ref="M120:M121"/>
    <mergeCell ref="C120:C121"/>
    <mergeCell ref="D120:D121"/>
    <mergeCell ref="E120:E121"/>
  </mergeCells>
  <dataValidations disablePrompts="1" count="8">
    <dataValidation type="list" allowBlank="1" showInputMessage="1" showErrorMessage="1" sqref="E217:E246">
      <formula1>$C$206:$I$206</formula1>
    </dataValidation>
    <dataValidation showInputMessage="1" showErrorMessage="1" sqref="F217:F246"/>
    <dataValidation type="list" allowBlank="1" showInputMessage="1" showErrorMessage="1" sqref="L122:L151">
      <formula1>$AN$95:$AN$97</formula1>
    </dataValidation>
    <dataValidation type="list" allowBlank="1" showInputMessage="1" showErrorMessage="1" sqref="E122:E151">
      <formula1>$AQ$103:$AQ$105</formula1>
    </dataValidation>
    <dataValidation type="list" allowBlank="1" showInputMessage="1" showErrorMessage="1" sqref="B122:B151 I122:I151">
      <formula1>$AK$95:$AK$102</formula1>
    </dataValidation>
    <dataValidation type="list" allowBlank="1" showInputMessage="1" showErrorMessage="1" sqref="B156:B160">
      <formula1>$AK$156:$AK$158</formula1>
    </dataValidation>
    <dataValidation type="list" allowBlank="1" showInputMessage="1" showErrorMessage="1" sqref="D217:D246">
      <formula1>$AK$211:$AK$215</formula1>
    </dataValidation>
    <dataValidation type="decimal" operator="lessThanOrEqual" allowBlank="1" showInputMessage="1" showErrorMessage="1" errorTitle="Non-negative input" error="Adjustment needs to have negative value" prompt="Please enter a negative value, if relevant" sqref="AA38:AB43 AA46:AB49 AA62:AB65 AA53:AB58 AA28:AB35">
      <formula1>0</formula1>
    </dataValidation>
  </dataValidations>
  <pageMargins left="0.7" right="0.7" top="0.75" bottom="0.75" header="0.3" footer="0.3"/>
  <pageSetup paperSize="9" orientation="portrait" r:id="rId1"/>
  <ignoredErrors>
    <ignoredError sqref="Y2 D256:E256 D109:D115 K92 F178:F185 C186 F92 C95:C102 F95:F102 D95:E102 C105:C106 D105:D106 E105:E106 F105:F106 D108 C108:C115 E108:E115 F108:F115 F117 C117 J95:J102 K95:K102" unlockedFormula="1"/>
    <ignoredError sqref="E207:G207" numberStoredAsText="1"/>
    <ignoredError sqref="F165" 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BE112"/>
  <sheetViews>
    <sheetView zoomScaleNormal="100" workbookViewId="0">
      <selection activeCell="W107" sqref="W107:X110"/>
    </sheetView>
  </sheetViews>
  <sheetFormatPr defaultColWidth="9.140625" defaultRowHeight="15" x14ac:dyDescent="0.25"/>
  <cols>
    <col min="1" max="1" width="9.140625" style="5"/>
    <col min="2" max="2" width="28.5703125" style="5" customWidth="1"/>
    <col min="3" max="26" width="17.140625" style="5" customWidth="1"/>
    <col min="27" max="29" width="9.140625" style="5"/>
    <col min="30" max="56" width="17.140625" style="5" customWidth="1"/>
    <col min="57" max="16384" width="9.140625" style="5"/>
  </cols>
  <sheetData>
    <row r="1" spans="1:56" ht="14.45" customHeight="1" x14ac:dyDescent="0.25">
      <c r="AB1" s="53" t="s">
        <v>0</v>
      </c>
      <c r="AO1" s="547"/>
    </row>
    <row r="2" spans="1:56" ht="14.45" customHeight="1" x14ac:dyDescent="0.25">
      <c r="B2" s="99" t="s">
        <v>28</v>
      </c>
      <c r="C2" s="24"/>
      <c r="D2" s="24"/>
      <c r="E2" s="24"/>
      <c r="F2" s="24"/>
      <c r="G2" s="24"/>
      <c r="H2" s="24"/>
      <c r="I2" s="24"/>
      <c r="J2" s="24"/>
      <c r="K2" s="24"/>
      <c r="L2" s="24"/>
      <c r="M2" s="24"/>
      <c r="N2" s="24"/>
      <c r="O2" s="24"/>
      <c r="P2" s="24"/>
      <c r="Q2" s="24"/>
      <c r="Z2" s="35" t="str">
        <f>HYPERLINK("#'Index'!a1","&gt;&gt; go to Index")</f>
        <v>&gt;&gt; go to Index</v>
      </c>
      <c r="AB2" s="53" t="s">
        <v>0</v>
      </c>
    </row>
    <row r="3" spans="1:56" x14ac:dyDescent="0.25">
      <c r="B3" s="144"/>
      <c r="C3" s="510" t="s">
        <v>387</v>
      </c>
      <c r="D3" s="522" t="s">
        <v>495</v>
      </c>
      <c r="E3" s="425"/>
      <c r="F3" s="425"/>
      <c r="G3" s="425"/>
      <c r="H3" s="425"/>
      <c r="I3" s="510" t="s">
        <v>493</v>
      </c>
      <c r="J3" s="425" t="s">
        <v>494</v>
      </c>
      <c r="K3" s="425"/>
      <c r="L3" s="425"/>
      <c r="M3" s="425"/>
      <c r="N3" s="425"/>
      <c r="O3" s="514" t="s">
        <v>388</v>
      </c>
      <c r="P3" s="158" t="s">
        <v>26</v>
      </c>
      <c r="Q3" s="160" t="s">
        <v>25</v>
      </c>
      <c r="AB3" s="53" t="s">
        <v>0</v>
      </c>
      <c r="AN3" s="193"/>
      <c r="AO3" s="193"/>
      <c r="AP3" s="193"/>
      <c r="AQ3" s="193"/>
      <c r="AR3" s="193"/>
    </row>
    <row r="4" spans="1:56" x14ac:dyDescent="0.25">
      <c r="B4" s="145"/>
      <c r="C4" s="64"/>
      <c r="D4" s="505" t="s">
        <v>225</v>
      </c>
      <c r="E4" s="505" t="s">
        <v>226</v>
      </c>
      <c r="F4" s="505" t="s">
        <v>496</v>
      </c>
      <c r="G4" s="505" t="s">
        <v>497</v>
      </c>
      <c r="H4" s="505" t="s">
        <v>490</v>
      </c>
      <c r="I4" s="64"/>
      <c r="J4" s="505" t="s">
        <v>225</v>
      </c>
      <c r="K4" s="505" t="s">
        <v>226</v>
      </c>
      <c r="L4" s="505" t="s">
        <v>496</v>
      </c>
      <c r="M4" s="505" t="s">
        <v>497</v>
      </c>
      <c r="N4" s="505" t="s">
        <v>490</v>
      </c>
      <c r="O4" s="145"/>
      <c r="P4" s="145"/>
      <c r="Q4" s="52"/>
      <c r="AB4" s="53" t="s">
        <v>0</v>
      </c>
      <c r="AN4" s="193"/>
      <c r="AO4" s="193"/>
      <c r="AP4" s="193"/>
      <c r="AQ4" s="193"/>
      <c r="AR4" s="193"/>
    </row>
    <row r="5" spans="1:56" ht="15" customHeight="1" x14ac:dyDescent="0.25">
      <c r="B5" s="57"/>
      <c r="C5" s="86"/>
      <c r="D5" s="505" t="s">
        <v>86</v>
      </c>
      <c r="E5" s="505" t="s">
        <v>86</v>
      </c>
      <c r="F5" s="505" t="s">
        <v>489</v>
      </c>
      <c r="G5" s="505"/>
      <c r="H5" s="505" t="s">
        <v>87</v>
      </c>
      <c r="I5" s="64"/>
      <c r="J5" s="505" t="s">
        <v>86</v>
      </c>
      <c r="K5" s="505" t="s">
        <v>86</v>
      </c>
      <c r="L5" s="505" t="s">
        <v>489</v>
      </c>
      <c r="M5" s="505"/>
      <c r="N5" s="505" t="s">
        <v>87</v>
      </c>
      <c r="O5" s="145"/>
      <c r="P5" s="145"/>
      <c r="Q5" s="52"/>
      <c r="AB5" s="53" t="s">
        <v>0</v>
      </c>
      <c r="AN5" s="193"/>
      <c r="AO5" s="520"/>
      <c r="AP5" s="193"/>
      <c r="AQ5" s="193"/>
      <c r="AR5" s="193"/>
    </row>
    <row r="6" spans="1:56" ht="18" x14ac:dyDescent="0.35">
      <c r="A6" s="548" t="s">
        <v>538</v>
      </c>
      <c r="B6" s="210" t="s">
        <v>470</v>
      </c>
      <c r="C6" s="656">
        <f>IF('Overview SRA'!$G$18="No",SQRT(SUM(C7)^2+1.5*SUM(C7)*SUM(C8)+SUM(C8)^2),"-")</f>
        <v>0</v>
      </c>
      <c r="D6" s="631">
        <f>IF('Overview SRA'!$G$18="No",SQRT(SUM(D7)^2+1.5*SUM(D7)*SUM(D8)+SUM(D8)^2),"-")</f>
        <v>0</v>
      </c>
      <c r="E6" s="633">
        <f>IF('Overview SRA'!$G$18="No",SQRT(SUM(E7)^2+1.5*SUM(E7)*SUM(E8)+SUM(E8)^2),"-")</f>
        <v>0</v>
      </c>
      <c r="F6" s="633">
        <f>IF('Overview SRA'!$G$18="No",SQRT(SUM(F7)^2+1.5*SUM(F7)*SUM(F8)+SUM(F8)^2),"-")</f>
        <v>0</v>
      </c>
      <c r="G6" s="633">
        <f>IF('Overview SRA'!$G$18="No",SQRT(SUM(G7)^2+1.5*SUM(G7)*SUM(G8)+SUM(G8)^2),"-")</f>
        <v>0</v>
      </c>
      <c r="H6" s="633">
        <f>IF('Overview SRA'!$G$18="No",SQRT(SUM(H7)^2+1.5*SUM(H7)*SUM(H8)+SUM(H8)^2),"-")</f>
        <v>0</v>
      </c>
      <c r="I6" s="591">
        <f>IF('Overview SRA'!$G$18="No",SUM(C6)-SUM(O6),"-")</f>
        <v>0</v>
      </c>
      <c r="J6" s="633">
        <f>IF('Overview SRA'!$G$18="No",SUM(D6)-SUM($O6),"-")</f>
        <v>0</v>
      </c>
      <c r="K6" s="633">
        <f>IF('Overview SRA'!$G$18="No",SUM(E6)-SUM($O6),"-")</f>
        <v>0</v>
      </c>
      <c r="L6" s="633">
        <f>IF('Overview SRA'!$G$18="No",SUM(F6)-SUM($O6),"-")</f>
        <v>0</v>
      </c>
      <c r="M6" s="633">
        <f>IF('Overview SRA'!$G$18="No",SUM(G6)-SUM($O6),"-")</f>
        <v>0</v>
      </c>
      <c r="N6" s="630">
        <f>IF('Overview SRA'!$G$18="No",SUM(H6)-SUM($O6),"-")</f>
        <v>0</v>
      </c>
      <c r="O6" s="630">
        <f>SQRT(SUM(O7)^2+1.5*SUM(O7)*SUM(O8)+SUM(O8)^2)</f>
        <v>0</v>
      </c>
      <c r="P6" s="665">
        <f>SUM(O6)-SUM(Q6)</f>
        <v>0</v>
      </c>
      <c r="Q6" s="591">
        <f>SUM(O7:O8)</f>
        <v>0</v>
      </c>
      <c r="AB6" s="53" t="s">
        <v>0</v>
      </c>
      <c r="AN6" s="193"/>
      <c r="AO6" s="799" t="s">
        <v>177</v>
      </c>
      <c r="AP6" s="193"/>
      <c r="AQ6" s="193"/>
      <c r="AR6" s="193"/>
    </row>
    <row r="7" spans="1:56" ht="18" customHeight="1" x14ac:dyDescent="0.35">
      <c r="B7" s="210" t="s">
        <v>468</v>
      </c>
      <c r="C7" s="627">
        <f>IF('Overview SRA'!$G$18="No",MAX(SUM(C108)-SUM(O108),0),"-")</f>
        <v>0</v>
      </c>
      <c r="D7" s="655">
        <f>IF('Overview SRA'!$G$18="No",MAX(SUM(O7)+SUM(R108)-SUM(R107),0),"-")</f>
        <v>0</v>
      </c>
      <c r="E7" s="700">
        <f>IF('Overview SRA'!$G$18="No",MAX(SUM(O7)+SUM(S108)-SUM(S107),0),"-")</f>
        <v>0</v>
      </c>
      <c r="F7" s="656">
        <f>IF('Overview SRA'!$G$18="No",MAX(SUM(O7)+SUM(E107:F107)-SUM(E108:F108),0),"-")</f>
        <v>0</v>
      </c>
      <c r="G7" s="656">
        <f>IF('Overview SRA'!$G$18="No",MAX(SUM(O7)+SUM(G107)-SUM(G108),0),"-")</f>
        <v>0</v>
      </c>
      <c r="H7" s="656">
        <f>IF('Overview SRA'!$G$18="No",MAX(SUM(O7)+SUM(T108:U108)-SUM(T107:U107),0),"-")</f>
        <v>0</v>
      </c>
      <c r="I7" s="620">
        <f>IF('Overview SRA'!$G$18="No",SUM(C7)-SUM(O7),"-")</f>
        <v>0</v>
      </c>
      <c r="J7" s="656">
        <f>IF('Overview SRA'!$G$18="No",SUM(D7)-SUM($O7),"-")</f>
        <v>0</v>
      </c>
      <c r="K7" s="656">
        <f>IF('Overview SRA'!$G$18="No",SUM(E7)-SUM($O7),"-")</f>
        <v>0</v>
      </c>
      <c r="L7" s="656">
        <f>IF('Overview SRA'!$G$18="No",SUM(F7)-SUM($O7),"-")</f>
        <v>0</v>
      </c>
      <c r="M7" s="656">
        <f>IF('Overview SRA'!$G$18="No",SUM(G7)-SUM($O7),"-")</f>
        <v>0</v>
      </c>
      <c r="N7" s="657">
        <f>IF('Overview SRA'!$G$18="No",SUM(H7)-SUM($O7),"-")</f>
        <v>0</v>
      </c>
      <c r="O7" s="701">
        <f>F57</f>
        <v>0</v>
      </c>
      <c r="P7" s="521"/>
      <c r="Q7" s="521"/>
      <c r="AB7" s="53" t="s">
        <v>0</v>
      </c>
      <c r="AN7" s="193"/>
      <c r="AO7" s="800"/>
      <c r="AP7" s="193"/>
      <c r="AQ7" s="193"/>
      <c r="AR7" s="193"/>
    </row>
    <row r="8" spans="1:56" ht="18" x14ac:dyDescent="0.35">
      <c r="B8" s="211" t="s">
        <v>469</v>
      </c>
      <c r="C8" s="664">
        <f>IF('Overview SRA'!$G$18="No",MAX(SUM(C110)-SUM(O110),0),"-")</f>
        <v>0</v>
      </c>
      <c r="D8" s="660">
        <f>IF('Overview SRA'!$G$18="No",MAX(SUM(O8)+SUM(R110)-SUM(R109),0),"-")</f>
        <v>0</v>
      </c>
      <c r="E8" s="702">
        <f>IF('Overview SRA'!$G$18="No",MAX(SUM(O8)+SUM(S110)-SUM(S109),0),"-")</f>
        <v>0</v>
      </c>
      <c r="F8" s="661">
        <f>IF('Overview SRA'!$G$18="No",MAX(SUM(O8)+SUM(E109:F109)-SUM(E110:F110),0),"-")</f>
        <v>0</v>
      </c>
      <c r="G8" s="661">
        <f>IF('Overview SRA'!$G$18="No",MAX(SUM(O8)+SUM(G109)-SUM(G110),0),"-")</f>
        <v>0</v>
      </c>
      <c r="H8" s="661">
        <f>IF('Overview SRA'!$G$18="No",MAX(SUM(O8)+SUM(T110:U110)-SUM(T109:U109),0),"-")</f>
        <v>0</v>
      </c>
      <c r="I8" s="626">
        <f>IF('Overview SRA'!$G$18="No",SUM(C8)-SUM(O8),"-")</f>
        <v>0</v>
      </c>
      <c r="J8" s="661">
        <f>IF('Overview SRA'!$G$18="No",SUM(D8)-SUM($O8),"-")</f>
        <v>0</v>
      </c>
      <c r="K8" s="661">
        <f>IF('Overview SRA'!$G$18="No",SUM(E8)-SUM($O8),"-")</f>
        <v>0</v>
      </c>
      <c r="L8" s="661">
        <f>IF('Overview SRA'!$G$18="No",SUM(F8)-SUM($O8),"-")</f>
        <v>0</v>
      </c>
      <c r="M8" s="661">
        <f>IF('Overview SRA'!$G$18="No",SUM(G8)-SUM($O8),"-")</f>
        <v>0</v>
      </c>
      <c r="N8" s="649">
        <f>IF('Overview SRA'!$G$18="No",SUM(H8)-SUM($O8),"-")</f>
        <v>0</v>
      </c>
      <c r="O8" s="703">
        <f>H93</f>
        <v>0</v>
      </c>
      <c r="P8" s="517"/>
      <c r="Q8" s="517"/>
      <c r="AB8" s="53" t="s">
        <v>0</v>
      </c>
      <c r="AN8" s="193"/>
      <c r="AO8" s="800"/>
      <c r="AP8" s="193"/>
      <c r="AQ8" s="193"/>
      <c r="AR8" s="193"/>
      <c r="AS8" s="193"/>
      <c r="AT8" s="193"/>
      <c r="AU8" s="193"/>
      <c r="AV8" s="193"/>
      <c r="AW8" s="193"/>
      <c r="AX8" s="193"/>
      <c r="AY8" s="193"/>
    </row>
    <row r="9" spans="1:56" x14ac:dyDescent="0.25">
      <c r="F9" s="518"/>
      <c r="G9" s="518"/>
      <c r="H9" s="518"/>
      <c r="I9" s="518"/>
      <c r="J9" s="518"/>
      <c r="K9" s="518"/>
      <c r="L9" s="518"/>
      <c r="AB9" s="53" t="s">
        <v>0</v>
      </c>
      <c r="AN9" s="193"/>
      <c r="AO9" s="800"/>
      <c r="AP9" s="193"/>
      <c r="AQ9" s="193"/>
      <c r="AR9" s="193"/>
      <c r="AS9" s="193"/>
      <c r="AT9" s="193"/>
      <c r="AU9" s="193"/>
      <c r="AV9" s="193"/>
      <c r="AW9" s="193"/>
      <c r="AX9" s="193"/>
      <c r="AY9" s="193"/>
    </row>
    <row r="10" spans="1:56" x14ac:dyDescent="0.25">
      <c r="AB10" s="53" t="s">
        <v>0</v>
      </c>
      <c r="AD10" s="193"/>
      <c r="AE10" s="193"/>
      <c r="AF10" s="193"/>
      <c r="AG10" s="193"/>
      <c r="AH10" s="193"/>
      <c r="AI10" s="193"/>
      <c r="AJ10" s="193"/>
      <c r="AK10" s="193"/>
      <c r="AL10" s="193"/>
      <c r="AM10" s="193"/>
      <c r="AN10" s="193"/>
      <c r="AO10" s="800"/>
      <c r="AP10" s="193"/>
      <c r="AQ10" s="193"/>
      <c r="AR10" s="193"/>
      <c r="AS10" s="193"/>
      <c r="AT10" s="193"/>
      <c r="AU10" s="193"/>
      <c r="AV10" s="193"/>
      <c r="AW10" s="193"/>
      <c r="AX10" s="193"/>
      <c r="AY10" s="193"/>
    </row>
    <row r="11" spans="1:56" ht="15" customHeight="1" x14ac:dyDescent="0.25">
      <c r="AB11" s="53" t="s">
        <v>0</v>
      </c>
      <c r="AD11" s="193"/>
      <c r="AE11" s="193"/>
      <c r="AF11" s="193"/>
      <c r="AG11" s="193"/>
      <c r="AH11" s="193"/>
      <c r="AI11" s="193"/>
      <c r="AJ11" s="193"/>
      <c r="AK11" s="193"/>
      <c r="AL11" s="193"/>
      <c r="AM11" s="193"/>
      <c r="AN11" s="193"/>
      <c r="AO11" s="800"/>
      <c r="AP11" s="826" t="s">
        <v>178</v>
      </c>
      <c r="AQ11" s="799" t="s">
        <v>179</v>
      </c>
      <c r="AR11" s="799" t="s">
        <v>214</v>
      </c>
      <c r="AS11" s="193"/>
      <c r="AT11" s="802" t="s">
        <v>181</v>
      </c>
      <c r="AU11" s="193"/>
      <c r="AV11" s="193"/>
      <c r="AW11" s="193"/>
      <c r="AX11" s="193"/>
      <c r="AY11" s="193"/>
    </row>
    <row r="12" spans="1:56" x14ac:dyDescent="0.25">
      <c r="AB12" s="53" t="s">
        <v>0</v>
      </c>
      <c r="AD12" s="193"/>
      <c r="AE12" s="193"/>
      <c r="AF12" s="193"/>
      <c r="AG12" s="193"/>
      <c r="AH12" s="193"/>
      <c r="AI12" s="193"/>
      <c r="AJ12" s="193"/>
      <c r="AK12" s="193"/>
      <c r="AL12" s="193"/>
      <c r="AM12" s="193"/>
      <c r="AN12" s="193"/>
      <c r="AO12" s="800"/>
      <c r="AP12" s="827"/>
      <c r="AQ12" s="800"/>
      <c r="AR12" s="800"/>
      <c r="AS12" s="193"/>
      <c r="AT12" s="803"/>
      <c r="AU12" s="177"/>
      <c r="AV12" s="193"/>
      <c r="AW12" s="193"/>
      <c r="AX12" s="193"/>
      <c r="AY12" s="193"/>
    </row>
    <row r="13" spans="1:56" x14ac:dyDescent="0.25">
      <c r="B13" s="2" t="s">
        <v>171</v>
      </c>
      <c r="C13" s="3"/>
      <c r="D13" s="3"/>
      <c r="E13" s="3"/>
      <c r="F13" s="3"/>
      <c r="G13" s="3"/>
      <c r="H13" s="3"/>
      <c r="I13" s="3"/>
      <c r="J13" s="3"/>
      <c r="K13" s="3"/>
      <c r="L13" s="3"/>
      <c r="M13" s="3"/>
      <c r="N13" s="3"/>
      <c r="O13" s="3"/>
      <c r="P13" s="3"/>
      <c r="Q13" s="3"/>
      <c r="R13" s="3"/>
      <c r="S13" s="3"/>
      <c r="T13" s="3"/>
      <c r="U13" s="3"/>
      <c r="V13" s="3"/>
      <c r="W13" s="3"/>
      <c r="X13" s="3"/>
      <c r="Y13" s="3"/>
      <c r="Z13" s="4"/>
      <c r="AB13" s="53" t="s">
        <v>0</v>
      </c>
      <c r="AD13" s="312" t="s">
        <v>172</v>
      </c>
      <c r="AE13" s="569"/>
      <c r="AF13" s="312" t="s">
        <v>173</v>
      </c>
      <c r="AG13" s="313"/>
      <c r="AH13" s="193"/>
      <c r="AI13" s="314" t="s">
        <v>165</v>
      </c>
      <c r="AJ13" s="193"/>
      <c r="AK13" s="319" t="s">
        <v>174</v>
      </c>
      <c r="AL13" s="320" t="s">
        <v>175</v>
      </c>
      <c r="AM13" s="321" t="s">
        <v>176</v>
      </c>
      <c r="AN13" s="193"/>
      <c r="AO13" s="801"/>
      <c r="AP13" s="828"/>
      <c r="AQ13" s="801"/>
      <c r="AR13" s="801"/>
      <c r="AS13" s="193"/>
      <c r="AT13" s="804"/>
      <c r="AU13" s="322"/>
      <c r="AV13" s="193"/>
      <c r="AW13" s="332" t="s">
        <v>326</v>
      </c>
      <c r="AX13" s="313"/>
      <c r="AY13" s="193"/>
      <c r="AZ13" s="88">
        <f>COUNT(Z18:Z47)</f>
        <v>0</v>
      </c>
      <c r="BA13" s="89"/>
      <c r="BB13" s="89" t="s">
        <v>182</v>
      </c>
      <c r="BC13" s="89"/>
      <c r="BD13" s="87"/>
    </row>
    <row r="14" spans="1:56" x14ac:dyDescent="0.25">
      <c r="B14" s="62"/>
      <c r="C14" s="31"/>
      <c r="D14" s="31"/>
      <c r="E14" s="31"/>
      <c r="F14" s="31"/>
      <c r="G14" s="31"/>
      <c r="H14" s="31"/>
      <c r="I14" s="31"/>
      <c r="J14" s="31"/>
      <c r="K14" s="31"/>
      <c r="L14" s="31"/>
      <c r="M14" s="31"/>
      <c r="N14" s="31"/>
      <c r="O14" s="31"/>
      <c r="P14" s="31"/>
      <c r="Q14" s="31"/>
      <c r="R14" s="31"/>
      <c r="S14" s="31"/>
      <c r="T14" s="31"/>
      <c r="U14" s="31"/>
      <c r="V14" s="31"/>
      <c r="W14" s="31"/>
      <c r="X14" s="31"/>
      <c r="Y14" s="31"/>
      <c r="Z14" s="32"/>
      <c r="AB14" s="53" t="s">
        <v>0</v>
      </c>
      <c r="AD14" s="570" t="s">
        <v>208</v>
      </c>
      <c r="AE14" s="569"/>
      <c r="AF14" s="321">
        <v>4</v>
      </c>
      <c r="AG14" s="315">
        <v>0.5</v>
      </c>
      <c r="AH14" s="193"/>
      <c r="AI14" s="316" t="s">
        <v>168</v>
      </c>
      <c r="AJ14" s="193"/>
      <c r="AK14" s="322" t="s">
        <v>165</v>
      </c>
      <c r="AL14" s="323">
        <v>0.85</v>
      </c>
      <c r="AM14" s="324">
        <v>1</v>
      </c>
      <c r="AN14" s="193"/>
      <c r="AO14" s="327" t="str">
        <f>AD14</f>
        <v>04.Reinsurance arrangements</v>
      </c>
      <c r="AP14" s="328">
        <v>1</v>
      </c>
      <c r="AQ14" s="328">
        <v>0.5</v>
      </c>
      <c r="AR14" s="329" t="s">
        <v>170</v>
      </c>
      <c r="AS14" s="193"/>
      <c r="AT14" s="450" t="s">
        <v>166</v>
      </c>
      <c r="AU14" s="325"/>
      <c r="AV14" s="193"/>
      <c r="AW14" s="322">
        <v>0</v>
      </c>
      <c r="AX14" s="333">
        <v>2.0000000000000002E-5</v>
      </c>
      <c r="AY14" s="193"/>
      <c r="AZ14" s="72" t="s">
        <v>183</v>
      </c>
      <c r="BA14" s="90" t="s">
        <v>184</v>
      </c>
      <c r="BB14" s="90" t="s">
        <v>185</v>
      </c>
      <c r="BC14" s="90"/>
      <c r="BD14" s="91" t="s">
        <v>186</v>
      </c>
    </row>
    <row r="15" spans="1:56" x14ac:dyDescent="0.25">
      <c r="B15" s="62"/>
      <c r="C15" s="31"/>
      <c r="D15" s="31"/>
      <c r="E15" s="31"/>
      <c r="F15" s="777" t="s">
        <v>143</v>
      </c>
      <c r="G15" s="778"/>
      <c r="H15" s="778"/>
      <c r="I15" s="778"/>
      <c r="J15" s="778"/>
      <c r="K15" s="778"/>
      <c r="L15" s="778"/>
      <c r="M15" s="778"/>
      <c r="N15" s="778"/>
      <c r="O15" s="778"/>
      <c r="P15" s="778"/>
      <c r="Q15" s="778"/>
      <c r="R15" s="778"/>
      <c r="S15" s="779"/>
      <c r="T15" s="31"/>
      <c r="U15" s="777" t="s">
        <v>144</v>
      </c>
      <c r="V15" s="778"/>
      <c r="W15" s="778"/>
      <c r="X15" s="778"/>
      <c r="Y15" s="778"/>
      <c r="Z15" s="779"/>
      <c r="AB15" s="53" t="s">
        <v>0</v>
      </c>
      <c r="AD15" s="322" t="s">
        <v>209</v>
      </c>
      <c r="AE15" s="571"/>
      <c r="AF15" s="321">
        <v>5</v>
      </c>
      <c r="AG15" s="315">
        <v>0.9</v>
      </c>
      <c r="AH15" s="193"/>
      <c r="AI15" s="193"/>
      <c r="AJ15" s="193"/>
      <c r="AK15" s="325" t="s">
        <v>168</v>
      </c>
      <c r="AL15" s="326">
        <v>0.75</v>
      </c>
      <c r="AM15" s="318">
        <v>0.9</v>
      </c>
      <c r="AN15" s="193"/>
      <c r="AO15" s="327" t="str">
        <f>AD15</f>
        <v>05.Reinsurance arrangements where reinsurer &gt; 60% tied up</v>
      </c>
      <c r="AP15" s="328">
        <v>1</v>
      </c>
      <c r="AQ15" s="449">
        <v>0.9</v>
      </c>
      <c r="AR15" s="366" t="s">
        <v>180</v>
      </c>
      <c r="AS15" s="193"/>
      <c r="AT15" s="450" t="s">
        <v>474</v>
      </c>
      <c r="AU15" s="334">
        <v>5.0000000000000001E-3</v>
      </c>
      <c r="AV15" s="193"/>
      <c r="AW15" s="322">
        <v>1</v>
      </c>
      <c r="AX15" s="333">
        <v>1E-4</v>
      </c>
      <c r="AY15" s="193"/>
      <c r="AZ15" s="71">
        <v>1</v>
      </c>
      <c r="BA15" s="92" t="e">
        <f>IF(BB15="","",RANK(BB15,$BB$15:$BB$44,1))</f>
        <v>#NUM!</v>
      </c>
      <c r="BB15" s="93" t="e">
        <f>IF(AZ15="","",SMALL($Z$18:$Z$47,AZ15))</f>
        <v>#NUM!</v>
      </c>
      <c r="BC15" s="92">
        <v>1</v>
      </c>
      <c r="BD15" s="94" t="str">
        <f>IF(ISNA(VLOOKUP(BC15,$BA$15:$BB$44,2,0)),"",VLOOKUP(BC15,$BA$15:$BB$44,2,0))</f>
        <v/>
      </c>
    </row>
    <row r="16" spans="1:56" x14ac:dyDescent="0.25">
      <c r="B16" s="28"/>
      <c r="C16" s="29"/>
      <c r="D16" s="29"/>
      <c r="E16" s="29"/>
      <c r="F16" s="754" t="s">
        <v>145</v>
      </c>
      <c r="G16" s="792"/>
      <c r="H16" s="755"/>
      <c r="I16" s="54" t="s">
        <v>146</v>
      </c>
      <c r="J16" s="793" t="s">
        <v>147</v>
      </c>
      <c r="K16" s="794"/>
      <c r="L16" s="794"/>
      <c r="M16" s="794"/>
      <c r="N16" s="795"/>
      <c r="O16" s="796" t="s">
        <v>148</v>
      </c>
      <c r="P16" s="794"/>
      <c r="Q16" s="794"/>
      <c r="R16" s="794"/>
      <c r="S16" s="795"/>
      <c r="T16" s="62"/>
      <c r="U16" s="29"/>
      <c r="V16" s="29"/>
      <c r="W16" s="29"/>
      <c r="X16" s="29"/>
      <c r="Y16" s="29"/>
      <c r="Z16" s="30"/>
      <c r="AB16" s="53" t="s">
        <v>0</v>
      </c>
      <c r="AD16" s="322" t="s">
        <v>210</v>
      </c>
      <c r="AE16" s="571"/>
      <c r="AF16" s="321">
        <v>6</v>
      </c>
      <c r="AG16" s="315">
        <v>0.5</v>
      </c>
      <c r="AH16" s="193"/>
      <c r="AI16" s="193"/>
      <c r="AJ16" s="193"/>
      <c r="AK16" s="193"/>
      <c r="AL16" s="193"/>
      <c r="AM16" s="193"/>
      <c r="AN16" s="193"/>
      <c r="AO16" s="327" t="str">
        <f>AD16</f>
        <v>06.Securitisation</v>
      </c>
      <c r="AP16" s="328">
        <v>1</v>
      </c>
      <c r="AQ16" s="328">
        <v>0.5</v>
      </c>
      <c r="AR16" s="329" t="s">
        <v>170</v>
      </c>
      <c r="AS16" s="193"/>
      <c r="AT16" s="316" t="s">
        <v>167</v>
      </c>
      <c r="AU16" s="335">
        <v>4.2000000000000003E-2</v>
      </c>
      <c r="AV16" s="193"/>
      <c r="AW16" s="322">
        <v>2</v>
      </c>
      <c r="AX16" s="333">
        <v>5.0000000000000001E-4</v>
      </c>
      <c r="AY16" s="193"/>
      <c r="AZ16" s="71">
        <f>IF(AZ15="","",IF(AZ15=$AZ$13,"",AZ15+1))</f>
        <v>2</v>
      </c>
      <c r="BA16" s="92" t="str">
        <f t="shared" ref="BA16:BA44" si="0">IF(BB16="","",RANK(BB16,$BB$15:$BB$44,1))</f>
        <v/>
      </c>
      <c r="BB16" s="93" t="str">
        <f>IF(AZ16="","",IF(COUNTIF($BB$15:BB15,"="&amp;SMALL($Z$18:$Z$47,AZ16)),"",SMALL($Z$18:$Z$47,AZ16)))</f>
        <v/>
      </c>
      <c r="BC16" s="92">
        <f>BC15+1</f>
        <v>2</v>
      </c>
      <c r="BD16" s="94" t="str">
        <f t="shared" ref="BD16:BD44" si="1">IF(ISNA(VLOOKUP(BC16,$BA$15:$BB$44,2,0)),"",VLOOKUP(BC16,$BA$15:$BB$44,2,0))</f>
        <v/>
      </c>
    </row>
    <row r="17" spans="2:56" ht="105" x14ac:dyDescent="0.25">
      <c r="B17" s="485" t="s">
        <v>149</v>
      </c>
      <c r="C17" s="102" t="s">
        <v>150</v>
      </c>
      <c r="D17" s="102" t="s">
        <v>151</v>
      </c>
      <c r="E17" s="101"/>
      <c r="F17" s="111" t="s">
        <v>152</v>
      </c>
      <c r="G17" s="485" t="s">
        <v>574</v>
      </c>
      <c r="H17" s="102" t="s">
        <v>153</v>
      </c>
      <c r="I17" s="102" t="s">
        <v>154</v>
      </c>
      <c r="J17" s="73" t="s">
        <v>155</v>
      </c>
      <c r="K17" s="23" t="s">
        <v>472</v>
      </c>
      <c r="L17" s="448" t="s">
        <v>473</v>
      </c>
      <c r="M17" s="73" t="s">
        <v>156</v>
      </c>
      <c r="N17" s="73" t="s">
        <v>157</v>
      </c>
      <c r="O17" s="112" t="s">
        <v>471</v>
      </c>
      <c r="P17" s="112" t="s">
        <v>158</v>
      </c>
      <c r="Q17" s="102" t="s">
        <v>159</v>
      </c>
      <c r="R17" s="102" t="s">
        <v>160</v>
      </c>
      <c r="S17" s="113" t="s">
        <v>206</v>
      </c>
      <c r="T17" s="31"/>
      <c r="U17" s="73" t="s">
        <v>161</v>
      </c>
      <c r="V17" s="73"/>
      <c r="W17" s="73" t="s">
        <v>162</v>
      </c>
      <c r="X17" s="448" t="s">
        <v>476</v>
      </c>
      <c r="Y17" s="73" t="s">
        <v>163</v>
      </c>
      <c r="Z17" s="73" t="s">
        <v>164</v>
      </c>
      <c r="AB17" s="53" t="s">
        <v>0</v>
      </c>
      <c r="AD17" s="572" t="s">
        <v>573</v>
      </c>
      <c r="AE17" s="571"/>
      <c r="AF17" s="321">
        <v>7</v>
      </c>
      <c r="AG17" s="315">
        <v>0.9</v>
      </c>
      <c r="AH17" s="193"/>
      <c r="AI17" s="193"/>
      <c r="AJ17" s="193"/>
      <c r="AK17" s="193"/>
      <c r="AL17" s="193"/>
      <c r="AM17" s="193"/>
      <c r="AN17" s="193"/>
      <c r="AO17" s="327" t="str">
        <f>AD17</f>
        <v>07.Derivative</v>
      </c>
      <c r="AP17" s="330">
        <v>1</v>
      </c>
      <c r="AQ17" s="330">
        <v>0.9</v>
      </c>
      <c r="AR17" s="331" t="s">
        <v>180</v>
      </c>
      <c r="AS17" s="193"/>
      <c r="AT17" s="193"/>
      <c r="AU17" s="193"/>
      <c r="AV17" s="193"/>
      <c r="AW17" s="322">
        <v>3</v>
      </c>
      <c r="AX17" s="333">
        <v>2.3999999999999998E-3</v>
      </c>
      <c r="AY17" s="193"/>
      <c r="AZ17" s="71">
        <f t="shared" ref="AZ17:AZ44" si="2">IF(AZ16="","",IF(AZ16=$AZ$13,"",AZ16+1))</f>
        <v>3</v>
      </c>
      <c r="BA17" s="92" t="str">
        <f t="shared" si="0"/>
        <v/>
      </c>
      <c r="BB17" s="93" t="str">
        <f>IF(AZ17="","",IF(COUNTIF($BB$15:BB16,"="&amp;SMALL($Z$18:$Z$47,AZ17)),"",SMALL($Z$18:$Z$47,AZ17)))</f>
        <v/>
      </c>
      <c r="BC17" s="92">
        <f t="shared" ref="BC17:BC44" si="3">BC16+1</f>
        <v>3</v>
      </c>
      <c r="BD17" s="94" t="str">
        <f t="shared" si="1"/>
        <v/>
      </c>
    </row>
    <row r="18" spans="2:56" x14ac:dyDescent="0.25">
      <c r="B18" s="704"/>
      <c r="C18" s="705"/>
      <c r="D18" s="706"/>
      <c r="E18" s="103" t="str">
        <f>IF(C18="","",VALUE(MID(D18,1,2)))</f>
        <v/>
      </c>
      <c r="F18" s="109" t="str">
        <f t="shared" ref="F18:F48" si="4">IF(E18="","",VLOOKUP(E18,$AF$14:$AG$20,2,0))</f>
        <v/>
      </c>
      <c r="G18" s="710"/>
      <c r="H18" s="710"/>
      <c r="I18" s="710"/>
      <c r="J18" s="711"/>
      <c r="K18" s="712"/>
      <c r="L18" s="712"/>
      <c r="M18" s="713"/>
      <c r="N18" s="84" t="str">
        <f>IF(C18="","",IF(OR(E18=8,E18=9,E18=10),0,IF(OR(J18="",K18="",M18=""),0,(K18-L18*(J18="No"))*VLOOKUP(M18,$AK$14:$AM$15,IF(J18="No",3,2),0))))</f>
        <v/>
      </c>
      <c r="O18" s="715"/>
      <c r="P18" s="105" t="str">
        <f>IF(OR(E18=8,E18=9,E18=10),"-",IF(ISERROR(MATCH(D18,$AO$14:$AO$17,0)),"-",INDEX($AP$14:$AQ$17,MATCH(D18,$AO$14:$AO$17,0),2-1*(UPPER(O18)="NO"))))</f>
        <v>-</v>
      </c>
      <c r="Q18" s="106" t="str">
        <f>IF(C18="","",IF(E18=7,MAX(F18*(G18+I18)-P18*N18,0),IF(E18=8,F18*(G18+I18),IF(E18=9,MAX(G18-F18*H18,0),IF(E18=10,F18*G18,MAX(F18*(G18+50%*I18)-P18*N18,0))))))</f>
        <v/>
      </c>
      <c r="R18" s="106" t="str">
        <f>IF(B18="","",IF(COUNTIF(B19:$B$48,B18)=0,SUMIF($B$18:$B$48,B18,$Q$18:$Q$48),""))</f>
        <v/>
      </c>
      <c r="S18" s="104" t="str">
        <f>IF(R18="","",R18^2)</f>
        <v/>
      </c>
      <c r="T18" s="31"/>
      <c r="U18" s="717"/>
      <c r="V18" s="107" t="str">
        <f>IF(C18="","",VALUE(MID(U18,1,2)))</f>
        <v/>
      </c>
      <c r="W18" s="706"/>
      <c r="X18" s="719"/>
      <c r="Y18" s="194" t="str">
        <f>IF(X18="",IF(V18="","",IF(V18=3,$AU$16,IF(V18=2,$AU$15,VLOOKUP(W18,$AW$14:$AX$20,2,FALSE)))),IF(X18&lt;=75%,4.2%,(IF(X18&lt;=95%,4.2%-(X18-75%)*(4.2%-1.2%)/(95%-75%),IF(X18&lt;=100%,1.2%-(X18-95%)*(1.2%-0.5%)/(100%-95%),IF(X18&lt;=122%,0.5%-(X18-100%)*(0.5%-0.24%)/(122%-100%),IF(X18&lt;=125%,0.24%-(X18-122%)*(0.24%-0.2%)/(125%-122%),IF(X18&lt;=150%,0.2%-(X18-125%)*(0.2%-0.1%)/(150%-125%),IF(X18&lt;=175%,0.1%-(X18-150%)*(0.1%-0.05%)/(175%-150%),IF(X18&lt;=196%,0.05%-(X18-175%)*(0.05%-0.01%)/(196%-175%),0.01%))))))))))</f>
        <v/>
      </c>
      <c r="Z18" s="195" t="str">
        <f>IF(R18="","",SUMPRODUCT($Q$18:$Q$47,$Y$18:$Y$47,($B$18:$B$47=B18)*1)/R18)</f>
        <v/>
      </c>
      <c r="AB18" s="53" t="s">
        <v>0</v>
      </c>
      <c r="AD18" s="322" t="s">
        <v>211</v>
      </c>
      <c r="AE18" s="571"/>
      <c r="AF18" s="321">
        <v>8</v>
      </c>
      <c r="AG18" s="317">
        <v>0.95</v>
      </c>
      <c r="AH18" s="193"/>
      <c r="AN18" s="193"/>
      <c r="AO18" s="193"/>
      <c r="AP18" s="193"/>
      <c r="AQ18" s="193"/>
      <c r="AR18" s="193"/>
      <c r="AS18" s="193"/>
      <c r="AT18" s="193"/>
      <c r="AU18" s="193"/>
      <c r="AV18" s="193"/>
      <c r="AW18" s="322">
        <v>4</v>
      </c>
      <c r="AX18" s="333">
        <v>1.2E-2</v>
      </c>
      <c r="AY18" s="193"/>
      <c r="AZ18" s="71">
        <f t="shared" si="2"/>
        <v>4</v>
      </c>
      <c r="BA18" s="92" t="str">
        <f t="shared" si="0"/>
        <v/>
      </c>
      <c r="BB18" s="93" t="str">
        <f>IF(AZ18="","",IF(COUNTIF($BB$15:BB17,"="&amp;SMALL($Z$18:$Z$47,AZ18)),"",SMALL($Z$18:$Z$47,AZ18)))</f>
        <v/>
      </c>
      <c r="BC18" s="92">
        <f t="shared" si="3"/>
        <v>4</v>
      </c>
      <c r="BD18" s="94" t="str">
        <f t="shared" si="1"/>
        <v/>
      </c>
    </row>
    <row r="19" spans="2:56" x14ac:dyDescent="0.25">
      <c r="B19" s="707"/>
      <c r="C19" s="708"/>
      <c r="D19" s="706"/>
      <c r="E19" s="107" t="str">
        <f t="shared" ref="E19:E46" si="5">IF(C19="","",VALUE(MID(D19,1,2)))</f>
        <v/>
      </c>
      <c r="F19" s="110" t="str">
        <f t="shared" si="4"/>
        <v/>
      </c>
      <c r="G19" s="714"/>
      <c r="H19" s="714"/>
      <c r="I19" s="714"/>
      <c r="J19" s="711"/>
      <c r="K19" s="712"/>
      <c r="L19" s="712"/>
      <c r="M19" s="713"/>
      <c r="N19" s="84" t="str">
        <f t="shared" ref="N19:N48" si="6">IF(C19="","",IF(OR(E19=8,E19=9,E19=10),0,IF(OR(J19="",K19="",M19=""),0,(K19-L19*(J19="No"))*VLOOKUP(M19,$AK$14:$AM$15,IF(J19="No",3,2),0))))</f>
        <v/>
      </c>
      <c r="O19" s="711"/>
      <c r="P19" s="108" t="str">
        <f t="shared" ref="P19:P48" si="7">IF(OR(E19=8,E19=9,E19=10),"-",IF(ISERROR(MATCH(D19,$AO$14:$AO$17,0)),"-",INDEX($AP$14:$AQ$17,MATCH(D19,$AO$14:$AO$17,0),2-1*(UPPER(O19)="NO"))))</f>
        <v>-</v>
      </c>
      <c r="Q19" s="85" t="str">
        <f t="shared" ref="Q19:Q47" si="8">IF(C19="","",IF(E19=7,MAX(F19*(G19+I19)-P19*N19,0),IF(E19=8,F19*(G19+I19),IF(E19=9,MAX(G19-F19*H19,0),IF(E19=10,F19*G19,MAX(F19*(G19+50%*I19)-P19*N19,0))))))</f>
        <v/>
      </c>
      <c r="R19" s="85" t="str">
        <f>IF(B19="","",IF(COUNTIF(B20:$B$48,B19)=0,SUMIF($B$18:$B$48,B19,$Q$18:$Q$48),""))</f>
        <v/>
      </c>
      <c r="S19" s="84" t="str">
        <f t="shared" ref="S19:S48" si="9">IF(R19="","",R19^2)</f>
        <v/>
      </c>
      <c r="T19" s="31"/>
      <c r="U19" s="718"/>
      <c r="V19" s="107" t="str">
        <f t="shared" ref="V19:V47" si="10">IF(C19="","",VALUE(MID(U19,1,2)))</f>
        <v/>
      </c>
      <c r="W19" s="706"/>
      <c r="X19" s="719"/>
      <c r="Y19" s="194" t="str">
        <f t="shared" ref="Y19:Y47" si="11">IF(X19="",IF(V19="","",IF(V19=3,$AU$16,IF(V19=2,$AU$15,VLOOKUP(W19,$AW$14:$AX$20,2,FALSE)))),IF(X19&lt;=75%,4.2%,(IF(X19&lt;=95%,4.2%-(X19-75%)*(4.2%-1.2%)/(95%-75%),IF(X19&lt;=100%,1.2%-(X19-95%)*(1.2%-0.5%)/(100%-95%),IF(X19&lt;=122%,0.5%-(X19-100%)*(0.5%-0.24%)/(122%-100%),IF(X19&lt;=125%,0.24%-(X19-122%)*(0.24%-0.2%)/(125%-122%),IF(X19&lt;=150%,0.2%-(X19-125%)*(0.2%-0.1%)/(150%-125%),IF(X19&lt;=175%,0.1%-(X19-150%)*(0.1%-0.05%)/(175%-150%),IF(X19&lt;=196%,0.05%-(X19-175%)*(0.05%-0.01%)/(196%-175%),0.01%))))))))))</f>
        <v/>
      </c>
      <c r="Z19" s="195" t="str">
        <f t="shared" ref="Z19:Z47" si="12">IF(R19="","",SUMPRODUCT($Q$18:$Q$47,$Y$18:$Y$47,($B$18:$B$47=B19)*1)/R19)</f>
        <v/>
      </c>
      <c r="AB19" s="53" t="s">
        <v>0</v>
      </c>
      <c r="AD19" s="322" t="s">
        <v>212</v>
      </c>
      <c r="AE19" s="571"/>
      <c r="AF19" s="321">
        <v>9</v>
      </c>
      <c r="AG19" s="317">
        <v>0.8</v>
      </c>
      <c r="AH19" s="193"/>
      <c r="AN19" s="193"/>
      <c r="AO19" s="193"/>
      <c r="AP19" s="193"/>
      <c r="AQ19" s="193"/>
      <c r="AR19" s="193"/>
      <c r="AS19" s="193"/>
      <c r="AT19" s="193"/>
      <c r="AU19" s="193"/>
      <c r="AV19" s="193"/>
      <c r="AW19" s="322">
        <v>5</v>
      </c>
      <c r="AX19" s="333">
        <v>4.2000000000000003E-2</v>
      </c>
      <c r="AY19" s="193"/>
      <c r="AZ19" s="71">
        <f t="shared" si="2"/>
        <v>5</v>
      </c>
      <c r="BA19" s="92" t="str">
        <f t="shared" si="0"/>
        <v/>
      </c>
      <c r="BB19" s="93" t="str">
        <f>IF(AZ19="","",IF(COUNTIF($BB$15:BB18,"="&amp;SMALL($Z$18:$Z$47,AZ19)),"",SMALL($Z$18:$Z$47,AZ19)))</f>
        <v/>
      </c>
      <c r="BC19" s="92">
        <f t="shared" si="3"/>
        <v>5</v>
      </c>
      <c r="BD19" s="94" t="str">
        <f t="shared" si="1"/>
        <v/>
      </c>
    </row>
    <row r="20" spans="2:56" x14ac:dyDescent="0.25">
      <c r="B20" s="707"/>
      <c r="C20" s="708"/>
      <c r="D20" s="706"/>
      <c r="E20" s="107" t="str">
        <f t="shared" si="5"/>
        <v/>
      </c>
      <c r="F20" s="110" t="str">
        <f t="shared" si="4"/>
        <v/>
      </c>
      <c r="G20" s="714"/>
      <c r="H20" s="714"/>
      <c r="I20" s="714"/>
      <c r="J20" s="711"/>
      <c r="K20" s="712"/>
      <c r="L20" s="712"/>
      <c r="M20" s="713"/>
      <c r="N20" s="84" t="str">
        <f t="shared" si="6"/>
        <v/>
      </c>
      <c r="O20" s="711"/>
      <c r="P20" s="108" t="str">
        <f t="shared" si="7"/>
        <v>-</v>
      </c>
      <c r="Q20" s="85" t="str">
        <f t="shared" si="8"/>
        <v/>
      </c>
      <c r="R20" s="85" t="str">
        <f>IF(B20="","",IF(COUNTIF(B21:$B$48,B20)=0,SUMIF($B$18:$B$48,B20,$Q$18:$Q$48),""))</f>
        <v/>
      </c>
      <c r="S20" s="84" t="str">
        <f t="shared" si="9"/>
        <v/>
      </c>
      <c r="T20" s="31"/>
      <c r="U20" s="717"/>
      <c r="V20" s="107" t="str">
        <f t="shared" si="10"/>
        <v/>
      </c>
      <c r="W20" s="706"/>
      <c r="X20" s="719"/>
      <c r="Y20" s="194" t="str">
        <f t="shared" si="11"/>
        <v/>
      </c>
      <c r="Z20" s="195" t="str">
        <f t="shared" si="12"/>
        <v/>
      </c>
      <c r="AB20" s="53" t="s">
        <v>0</v>
      </c>
      <c r="AD20" s="325" t="s">
        <v>213</v>
      </c>
      <c r="AE20" s="573"/>
      <c r="AF20" s="568">
        <v>10</v>
      </c>
      <c r="AG20" s="318">
        <v>1</v>
      </c>
      <c r="AH20" s="193"/>
      <c r="AN20" s="193"/>
      <c r="AO20" s="193"/>
      <c r="AP20" s="193"/>
      <c r="AQ20" s="193"/>
      <c r="AR20" s="193"/>
      <c r="AS20" s="193"/>
      <c r="AT20" s="193"/>
      <c r="AU20" s="193"/>
      <c r="AV20" s="193"/>
      <c r="AW20" s="322">
        <v>6</v>
      </c>
      <c r="AX20" s="333">
        <v>4.2000000000000003E-2</v>
      </c>
      <c r="AY20" s="193"/>
      <c r="AZ20" s="71">
        <f t="shared" si="2"/>
        <v>6</v>
      </c>
      <c r="BA20" s="92" t="str">
        <f t="shared" si="0"/>
        <v/>
      </c>
      <c r="BB20" s="93" t="str">
        <f>IF(AZ20="","",IF(COUNTIF($BB$15:BB19,"="&amp;SMALL($Z$18:$Z$47,AZ20)),"",SMALL($Z$18:$Z$47,AZ20)))</f>
        <v/>
      </c>
      <c r="BC20" s="92">
        <f t="shared" si="3"/>
        <v>6</v>
      </c>
      <c r="BD20" s="94" t="str">
        <f>IF(ISNA(VLOOKUP(BC20,$BA$15:$BB$44,2,0)),"",VLOOKUP(BC20,$BA$15:$BB$44,2,0))</f>
        <v/>
      </c>
    </row>
    <row r="21" spans="2:56" x14ac:dyDescent="0.25">
      <c r="B21" s="707"/>
      <c r="C21" s="708"/>
      <c r="D21" s="706"/>
      <c r="E21" s="107" t="str">
        <f t="shared" si="5"/>
        <v/>
      </c>
      <c r="F21" s="110" t="str">
        <f t="shared" si="4"/>
        <v/>
      </c>
      <c r="G21" s="714"/>
      <c r="H21" s="714"/>
      <c r="I21" s="714"/>
      <c r="J21" s="711"/>
      <c r="K21" s="712"/>
      <c r="L21" s="712"/>
      <c r="M21" s="713"/>
      <c r="N21" s="84" t="str">
        <f t="shared" si="6"/>
        <v/>
      </c>
      <c r="O21" s="711"/>
      <c r="P21" s="108" t="str">
        <f t="shared" si="7"/>
        <v>-</v>
      </c>
      <c r="Q21" s="85" t="str">
        <f t="shared" si="8"/>
        <v/>
      </c>
      <c r="R21" s="85" t="str">
        <f>IF(B21="","",IF(COUNTIF(B22:$B$48,B21)=0,SUMIF($B$18:$B$48,B21,$Q$18:$Q$48),""))</f>
        <v/>
      </c>
      <c r="S21" s="84" t="str">
        <f t="shared" si="9"/>
        <v/>
      </c>
      <c r="T21" s="31"/>
      <c r="U21" s="717"/>
      <c r="V21" s="107" t="str">
        <f t="shared" si="10"/>
        <v/>
      </c>
      <c r="W21" s="706"/>
      <c r="X21" s="719"/>
      <c r="Y21" s="194" t="str">
        <f t="shared" si="11"/>
        <v/>
      </c>
      <c r="Z21" s="195" t="str">
        <f t="shared" si="12"/>
        <v/>
      </c>
      <c r="AB21" s="53" t="s">
        <v>0</v>
      </c>
      <c r="AD21" s="193"/>
      <c r="AE21" s="193"/>
      <c r="AH21" s="193"/>
      <c r="AN21" s="193"/>
      <c r="AO21" s="193"/>
      <c r="AP21" s="193"/>
      <c r="AQ21" s="193"/>
      <c r="AR21" s="193"/>
      <c r="AS21" s="193"/>
      <c r="AT21" s="193"/>
      <c r="AU21" s="193"/>
      <c r="AV21" s="193"/>
      <c r="AW21" s="325" t="s">
        <v>109</v>
      </c>
      <c r="AX21" s="336">
        <v>4.2000000000000003E-2</v>
      </c>
      <c r="AY21" s="193"/>
      <c r="AZ21" s="71">
        <f t="shared" si="2"/>
        <v>7</v>
      </c>
      <c r="BA21" s="92" t="str">
        <f t="shared" si="0"/>
        <v/>
      </c>
      <c r="BB21" s="93" t="str">
        <f>IF(AZ21="","",IF(COUNTIF($BB$15:BB20,"="&amp;SMALL($Z$18:$Z$47,AZ21)),"",SMALL($Z$18:$Z$47,AZ21)))</f>
        <v/>
      </c>
      <c r="BC21" s="92">
        <f t="shared" si="3"/>
        <v>7</v>
      </c>
      <c r="BD21" s="94" t="str">
        <f t="shared" si="1"/>
        <v/>
      </c>
    </row>
    <row r="22" spans="2:56" x14ac:dyDescent="0.25">
      <c r="B22" s="707"/>
      <c r="C22" s="708"/>
      <c r="D22" s="706"/>
      <c r="E22" s="107" t="str">
        <f t="shared" si="5"/>
        <v/>
      </c>
      <c r="F22" s="110" t="str">
        <f t="shared" si="4"/>
        <v/>
      </c>
      <c r="G22" s="714"/>
      <c r="H22" s="714"/>
      <c r="I22" s="714"/>
      <c r="J22" s="711"/>
      <c r="K22" s="712"/>
      <c r="L22" s="712"/>
      <c r="M22" s="713"/>
      <c r="N22" s="84" t="str">
        <f t="shared" si="6"/>
        <v/>
      </c>
      <c r="O22" s="711"/>
      <c r="P22" s="108" t="str">
        <f t="shared" si="7"/>
        <v>-</v>
      </c>
      <c r="Q22" s="85" t="str">
        <f t="shared" si="8"/>
        <v/>
      </c>
      <c r="R22" s="85" t="str">
        <f>IF(B22="","",IF(COUNTIF(B23:$B$48,B22)=0,SUMIF($B$18:$B$48,B22,$Q$18:$Q$48),""))</f>
        <v/>
      </c>
      <c r="S22" s="84" t="str">
        <f t="shared" si="9"/>
        <v/>
      </c>
      <c r="T22" s="31"/>
      <c r="U22" s="717"/>
      <c r="V22" s="107" t="str">
        <f t="shared" si="10"/>
        <v/>
      </c>
      <c r="W22" s="706"/>
      <c r="X22" s="719"/>
      <c r="Y22" s="194" t="str">
        <f t="shared" si="11"/>
        <v/>
      </c>
      <c r="Z22" s="195" t="str">
        <f t="shared" si="12"/>
        <v/>
      </c>
      <c r="AB22" s="53" t="s">
        <v>0</v>
      </c>
      <c r="AD22" s="193"/>
      <c r="AE22" s="193"/>
      <c r="AH22" s="193"/>
      <c r="AN22" s="193"/>
      <c r="AO22" s="193"/>
      <c r="AP22" s="193"/>
      <c r="AQ22" s="193"/>
      <c r="AR22" s="193"/>
      <c r="AS22" s="193"/>
      <c r="AT22" s="193"/>
      <c r="AU22" s="193"/>
      <c r="AV22" s="193"/>
      <c r="AW22" s="193"/>
      <c r="AX22" s="193"/>
      <c r="AY22" s="193"/>
      <c r="AZ22" s="71">
        <f t="shared" si="2"/>
        <v>8</v>
      </c>
      <c r="BA22" s="92" t="str">
        <f t="shared" si="0"/>
        <v/>
      </c>
      <c r="BB22" s="93" t="str">
        <f>IF(AZ22="","",IF(COUNTIF($BB$15:BB21,"="&amp;SMALL($Z$18:$Z$47,AZ22)),"",SMALL($Z$18:$Z$47,AZ22)))</f>
        <v/>
      </c>
      <c r="BC22" s="92">
        <f t="shared" si="3"/>
        <v>8</v>
      </c>
      <c r="BD22" s="94" t="str">
        <f t="shared" si="1"/>
        <v/>
      </c>
    </row>
    <row r="23" spans="2:56" x14ac:dyDescent="0.25">
      <c r="B23" s="707"/>
      <c r="C23" s="708"/>
      <c r="D23" s="706"/>
      <c r="E23" s="107" t="str">
        <f t="shared" si="5"/>
        <v/>
      </c>
      <c r="F23" s="110" t="str">
        <f t="shared" si="4"/>
        <v/>
      </c>
      <c r="G23" s="714"/>
      <c r="H23" s="714"/>
      <c r="I23" s="714"/>
      <c r="J23" s="711"/>
      <c r="K23" s="712"/>
      <c r="L23" s="712"/>
      <c r="M23" s="713"/>
      <c r="N23" s="84" t="str">
        <f t="shared" si="6"/>
        <v/>
      </c>
      <c r="O23" s="711"/>
      <c r="P23" s="108" t="str">
        <f t="shared" si="7"/>
        <v>-</v>
      </c>
      <c r="Q23" s="85" t="str">
        <f t="shared" si="8"/>
        <v/>
      </c>
      <c r="R23" s="85" t="str">
        <f>IF(B23="","",IF(COUNTIF(B24:$B$48,B23)=0,SUMIF($B$18:$B$48,B23,$Q$18:$Q$48),""))</f>
        <v/>
      </c>
      <c r="S23" s="84" t="str">
        <f t="shared" si="9"/>
        <v/>
      </c>
      <c r="T23" s="31"/>
      <c r="U23" s="717"/>
      <c r="V23" s="107" t="str">
        <f t="shared" si="10"/>
        <v/>
      </c>
      <c r="W23" s="706"/>
      <c r="X23" s="719"/>
      <c r="Y23" s="194" t="str">
        <f t="shared" si="11"/>
        <v/>
      </c>
      <c r="Z23" s="195" t="str">
        <f t="shared" si="12"/>
        <v/>
      </c>
      <c r="AB23" s="53" t="s">
        <v>0</v>
      </c>
      <c r="AD23" s="193"/>
      <c r="AE23" s="193"/>
      <c r="AH23" s="193"/>
      <c r="AZ23" s="71">
        <f t="shared" si="2"/>
        <v>9</v>
      </c>
      <c r="BA23" s="92" t="str">
        <f t="shared" si="0"/>
        <v/>
      </c>
      <c r="BB23" s="93" t="str">
        <f>IF(AZ23="","",IF(COUNTIF($BB$15:BB22,"="&amp;SMALL($Z$18:$Z$47,AZ23)),"",SMALL($Z$18:$Z$47,AZ23)))</f>
        <v/>
      </c>
      <c r="BC23" s="92">
        <f t="shared" si="3"/>
        <v>9</v>
      </c>
      <c r="BD23" s="94" t="str">
        <f>IF(ISNA(VLOOKUP(BC23,$BA$15:$BB$44,2,0)),"",VLOOKUP(BC23,$BA$15:$BB$44,2,0))</f>
        <v/>
      </c>
    </row>
    <row r="24" spans="2:56" x14ac:dyDescent="0.25">
      <c r="B24" s="707"/>
      <c r="C24" s="708"/>
      <c r="D24" s="706"/>
      <c r="E24" s="107" t="str">
        <f t="shared" si="5"/>
        <v/>
      </c>
      <c r="F24" s="110" t="str">
        <f t="shared" si="4"/>
        <v/>
      </c>
      <c r="G24" s="714"/>
      <c r="H24" s="714"/>
      <c r="I24" s="714"/>
      <c r="J24" s="711"/>
      <c r="K24" s="712"/>
      <c r="L24" s="712"/>
      <c r="M24" s="713"/>
      <c r="N24" s="84" t="str">
        <f t="shared" si="6"/>
        <v/>
      </c>
      <c r="O24" s="711"/>
      <c r="P24" s="108" t="str">
        <f t="shared" si="7"/>
        <v>-</v>
      </c>
      <c r="Q24" s="85" t="str">
        <f t="shared" si="8"/>
        <v/>
      </c>
      <c r="R24" s="85" t="str">
        <f>IF(B24="","",IF(COUNTIF(B25:$B$48,B24)=0,SUMIF($B$18:$B$48,B24,$Q$18:$Q$48),""))</f>
        <v/>
      </c>
      <c r="S24" s="84" t="str">
        <f t="shared" si="9"/>
        <v/>
      </c>
      <c r="T24" s="31"/>
      <c r="U24" s="717"/>
      <c r="V24" s="107" t="str">
        <f t="shared" si="10"/>
        <v/>
      </c>
      <c r="W24" s="706"/>
      <c r="X24" s="719"/>
      <c r="Y24" s="194" t="str">
        <f t="shared" si="11"/>
        <v/>
      </c>
      <c r="Z24" s="195" t="str">
        <f t="shared" si="12"/>
        <v/>
      </c>
      <c r="AB24" s="53" t="s">
        <v>0</v>
      </c>
      <c r="AD24" s="193"/>
      <c r="AE24" s="193"/>
      <c r="AF24" s="193"/>
      <c r="AG24" s="193"/>
      <c r="AH24" s="193"/>
      <c r="AZ24" s="71">
        <f t="shared" si="2"/>
        <v>10</v>
      </c>
      <c r="BA24" s="92" t="str">
        <f t="shared" si="0"/>
        <v/>
      </c>
      <c r="BB24" s="93" t="str">
        <f>IF(AZ24="","",IF(COUNTIF($BB$15:BB23,"="&amp;SMALL($Z$18:$Z$47,AZ24)),"",SMALL($Z$18:$Z$47,AZ24)))</f>
        <v/>
      </c>
      <c r="BC24" s="92">
        <f t="shared" si="3"/>
        <v>10</v>
      </c>
      <c r="BD24" s="94" t="str">
        <f t="shared" si="1"/>
        <v/>
      </c>
    </row>
    <row r="25" spans="2:56" x14ac:dyDescent="0.25">
      <c r="B25" s="707"/>
      <c r="C25" s="708"/>
      <c r="D25" s="706"/>
      <c r="E25" s="107" t="str">
        <f t="shared" si="5"/>
        <v/>
      </c>
      <c r="F25" s="110" t="str">
        <f t="shared" si="4"/>
        <v/>
      </c>
      <c r="G25" s="714"/>
      <c r="H25" s="714"/>
      <c r="I25" s="714"/>
      <c r="J25" s="711"/>
      <c r="K25" s="712"/>
      <c r="L25" s="712"/>
      <c r="M25" s="713"/>
      <c r="N25" s="84" t="str">
        <f t="shared" si="6"/>
        <v/>
      </c>
      <c r="O25" s="711"/>
      <c r="P25" s="108" t="str">
        <f t="shared" si="7"/>
        <v>-</v>
      </c>
      <c r="Q25" s="85" t="str">
        <f t="shared" si="8"/>
        <v/>
      </c>
      <c r="R25" s="85" t="str">
        <f>IF(B25="","",IF(COUNTIF(B26:$B$48,B25)=0,SUMIF($B$18:$B$48,B25,$Q$18:$Q$48),""))</f>
        <v/>
      </c>
      <c r="S25" s="84" t="str">
        <f t="shared" si="9"/>
        <v/>
      </c>
      <c r="T25" s="31"/>
      <c r="U25" s="717"/>
      <c r="V25" s="107" t="str">
        <f t="shared" si="10"/>
        <v/>
      </c>
      <c r="W25" s="706"/>
      <c r="X25" s="719"/>
      <c r="Y25" s="194" t="str">
        <f t="shared" si="11"/>
        <v/>
      </c>
      <c r="Z25" s="195" t="str">
        <f t="shared" si="12"/>
        <v/>
      </c>
      <c r="AB25" s="53" t="s">
        <v>0</v>
      </c>
      <c r="AD25" s="193"/>
      <c r="AE25" s="193"/>
      <c r="AF25" s="193"/>
      <c r="AG25" s="193"/>
      <c r="AH25" s="193"/>
      <c r="AZ25" s="71">
        <f t="shared" si="2"/>
        <v>11</v>
      </c>
      <c r="BA25" s="92" t="str">
        <f t="shared" si="0"/>
        <v/>
      </c>
      <c r="BB25" s="93" t="str">
        <f>IF(AZ25="","",IF(COUNTIF($BB$15:BB24,"="&amp;SMALL($Z$18:$Z$47,AZ25)),"",SMALL($Z$18:$Z$47,AZ25)))</f>
        <v/>
      </c>
      <c r="BC25" s="92">
        <f t="shared" si="3"/>
        <v>11</v>
      </c>
      <c r="BD25" s="94" t="str">
        <f t="shared" si="1"/>
        <v/>
      </c>
    </row>
    <row r="26" spans="2:56" x14ac:dyDescent="0.25">
      <c r="B26" s="707"/>
      <c r="C26" s="708"/>
      <c r="D26" s="706"/>
      <c r="E26" s="107" t="str">
        <f t="shared" si="5"/>
        <v/>
      </c>
      <c r="F26" s="110" t="str">
        <f t="shared" si="4"/>
        <v/>
      </c>
      <c r="G26" s="714"/>
      <c r="H26" s="714"/>
      <c r="I26" s="714"/>
      <c r="J26" s="711"/>
      <c r="K26" s="712"/>
      <c r="L26" s="712"/>
      <c r="M26" s="713"/>
      <c r="N26" s="84" t="str">
        <f t="shared" si="6"/>
        <v/>
      </c>
      <c r="O26" s="711"/>
      <c r="P26" s="108" t="str">
        <f t="shared" si="7"/>
        <v>-</v>
      </c>
      <c r="Q26" s="85" t="str">
        <f t="shared" si="8"/>
        <v/>
      </c>
      <c r="R26" s="85" t="str">
        <f>IF(B26="","",IF(COUNTIF(B27:$B$48,B26)=0,SUMIF($B$18:$B$48,B26,$Q$18:$Q$48),""))</f>
        <v/>
      </c>
      <c r="S26" s="84" t="str">
        <f t="shared" si="9"/>
        <v/>
      </c>
      <c r="T26" s="31"/>
      <c r="U26" s="717"/>
      <c r="V26" s="107" t="str">
        <f t="shared" si="10"/>
        <v/>
      </c>
      <c r="W26" s="706"/>
      <c r="X26" s="719"/>
      <c r="Y26" s="194" t="str">
        <f t="shared" si="11"/>
        <v/>
      </c>
      <c r="Z26" s="195" t="str">
        <f t="shared" si="12"/>
        <v/>
      </c>
      <c r="AB26" s="53" t="s">
        <v>0</v>
      </c>
      <c r="AD26" s="193"/>
      <c r="AE26" s="193"/>
      <c r="AF26" s="193"/>
      <c r="AG26" s="193"/>
      <c r="AH26" s="193"/>
      <c r="AZ26" s="71">
        <f t="shared" si="2"/>
        <v>12</v>
      </c>
      <c r="BA26" s="92" t="str">
        <f t="shared" si="0"/>
        <v/>
      </c>
      <c r="BB26" s="93" t="str">
        <f>IF(AZ26="","",IF(COUNTIF($BB$15:BB25,"="&amp;SMALL($Z$18:$Z$47,AZ26)),"",SMALL($Z$18:$Z$47,AZ26)))</f>
        <v/>
      </c>
      <c r="BC26" s="92">
        <f t="shared" si="3"/>
        <v>12</v>
      </c>
      <c r="BD26" s="94" t="str">
        <f>IF(ISNA(VLOOKUP(BC26,$BA$15:$BB$44,2,0)),"",VLOOKUP(BC26,$BA$15:$BB$44,2,0))</f>
        <v/>
      </c>
    </row>
    <row r="27" spans="2:56" x14ac:dyDescent="0.25">
      <c r="B27" s="707"/>
      <c r="C27" s="708"/>
      <c r="D27" s="706"/>
      <c r="E27" s="107" t="str">
        <f t="shared" si="5"/>
        <v/>
      </c>
      <c r="F27" s="110" t="str">
        <f t="shared" si="4"/>
        <v/>
      </c>
      <c r="G27" s="714"/>
      <c r="H27" s="714"/>
      <c r="I27" s="714"/>
      <c r="J27" s="711"/>
      <c r="K27" s="712"/>
      <c r="L27" s="712"/>
      <c r="M27" s="713"/>
      <c r="N27" s="84" t="str">
        <f t="shared" si="6"/>
        <v/>
      </c>
      <c r="O27" s="711"/>
      <c r="P27" s="108" t="str">
        <f t="shared" si="7"/>
        <v>-</v>
      </c>
      <c r="Q27" s="85" t="str">
        <f t="shared" si="8"/>
        <v/>
      </c>
      <c r="R27" s="85" t="str">
        <f>IF(B27="","",IF(COUNTIF(B28:$B$48,B27)=0,SUMIF($B$18:$B$48,B27,$Q$18:$Q$48),""))</f>
        <v/>
      </c>
      <c r="S27" s="84" t="str">
        <f t="shared" si="9"/>
        <v/>
      </c>
      <c r="T27" s="31"/>
      <c r="U27" s="717"/>
      <c r="V27" s="107" t="str">
        <f t="shared" si="10"/>
        <v/>
      </c>
      <c r="W27" s="706"/>
      <c r="X27" s="719"/>
      <c r="Y27" s="194" t="str">
        <f t="shared" si="11"/>
        <v/>
      </c>
      <c r="Z27" s="195" t="str">
        <f t="shared" si="12"/>
        <v/>
      </c>
      <c r="AB27" s="53" t="s">
        <v>0</v>
      </c>
      <c r="AD27" s="193"/>
      <c r="AE27" s="193"/>
      <c r="AF27" s="193"/>
      <c r="AG27" s="193"/>
      <c r="AH27" s="193"/>
      <c r="AZ27" s="71">
        <f t="shared" si="2"/>
        <v>13</v>
      </c>
      <c r="BA27" s="92" t="str">
        <f t="shared" si="0"/>
        <v/>
      </c>
      <c r="BB27" s="93" t="str">
        <f>IF(AZ27="","",IF(COUNTIF($BB$15:BB26,"="&amp;SMALL($Z$18:$Z$47,AZ27)),"",SMALL($Z$18:$Z$47,AZ27)))</f>
        <v/>
      </c>
      <c r="BC27" s="92">
        <f t="shared" si="3"/>
        <v>13</v>
      </c>
      <c r="BD27" s="94" t="str">
        <f t="shared" si="1"/>
        <v/>
      </c>
    </row>
    <row r="28" spans="2:56" x14ac:dyDescent="0.25">
      <c r="B28" s="707"/>
      <c r="C28" s="708"/>
      <c r="D28" s="706"/>
      <c r="E28" s="107" t="str">
        <f t="shared" si="5"/>
        <v/>
      </c>
      <c r="F28" s="110" t="str">
        <f t="shared" si="4"/>
        <v/>
      </c>
      <c r="G28" s="714"/>
      <c r="H28" s="714"/>
      <c r="I28" s="714"/>
      <c r="J28" s="711"/>
      <c r="K28" s="712"/>
      <c r="L28" s="712"/>
      <c r="M28" s="713"/>
      <c r="N28" s="84" t="str">
        <f t="shared" si="6"/>
        <v/>
      </c>
      <c r="O28" s="711"/>
      <c r="P28" s="108" t="str">
        <f t="shared" si="7"/>
        <v>-</v>
      </c>
      <c r="Q28" s="85" t="str">
        <f t="shared" si="8"/>
        <v/>
      </c>
      <c r="R28" s="85" t="str">
        <f>IF(B28="","",IF(COUNTIF(B29:$B$48,B28)=0,SUMIF($B$18:$B$48,B28,$Q$18:$Q$48),""))</f>
        <v/>
      </c>
      <c r="S28" s="84" t="str">
        <f t="shared" si="9"/>
        <v/>
      </c>
      <c r="T28" s="31"/>
      <c r="U28" s="717"/>
      <c r="V28" s="107" t="str">
        <f t="shared" si="10"/>
        <v/>
      </c>
      <c r="W28" s="706"/>
      <c r="X28" s="719"/>
      <c r="Y28" s="194" t="str">
        <f t="shared" si="11"/>
        <v/>
      </c>
      <c r="Z28" s="195" t="str">
        <f t="shared" si="12"/>
        <v/>
      </c>
      <c r="AB28" s="53" t="s">
        <v>0</v>
      </c>
      <c r="AD28" s="193"/>
      <c r="AE28" s="193"/>
      <c r="AF28" s="193"/>
      <c r="AG28" s="193"/>
      <c r="AH28" s="193"/>
      <c r="AZ28" s="71">
        <f t="shared" si="2"/>
        <v>14</v>
      </c>
      <c r="BA28" s="92" t="str">
        <f t="shared" si="0"/>
        <v/>
      </c>
      <c r="BB28" s="93" t="str">
        <f>IF(AZ28="","",IF(COUNTIF($BB$15:BB27,"="&amp;SMALL($Z$18:$Z$47,AZ28)),"",SMALL($Z$18:$Z$47,AZ28)))</f>
        <v/>
      </c>
      <c r="BC28" s="92">
        <f t="shared" si="3"/>
        <v>14</v>
      </c>
      <c r="BD28" s="94" t="str">
        <f>IF(ISNA(VLOOKUP(BC28,$BA$15:$BB$44,2,0)),"",VLOOKUP(BC28,$BA$15:$BB$44,2,0))</f>
        <v/>
      </c>
    </row>
    <row r="29" spans="2:56" x14ac:dyDescent="0.25">
      <c r="B29" s="707"/>
      <c r="C29" s="708"/>
      <c r="D29" s="706"/>
      <c r="E29" s="107" t="str">
        <f t="shared" si="5"/>
        <v/>
      </c>
      <c r="F29" s="110" t="str">
        <f t="shared" si="4"/>
        <v/>
      </c>
      <c r="G29" s="714"/>
      <c r="H29" s="714"/>
      <c r="I29" s="714"/>
      <c r="J29" s="711"/>
      <c r="K29" s="712"/>
      <c r="L29" s="712"/>
      <c r="M29" s="713"/>
      <c r="N29" s="84" t="str">
        <f t="shared" si="6"/>
        <v/>
      </c>
      <c r="O29" s="711"/>
      <c r="P29" s="108" t="str">
        <f t="shared" si="7"/>
        <v>-</v>
      </c>
      <c r="Q29" s="85" t="str">
        <f t="shared" si="8"/>
        <v/>
      </c>
      <c r="R29" s="85" t="str">
        <f>IF(B29="","",IF(COUNTIF(B30:$B$48,B29)=0,SUMIF($B$18:$B$48,B29,$Q$18:$Q$48),""))</f>
        <v/>
      </c>
      <c r="S29" s="84" t="str">
        <f t="shared" si="9"/>
        <v/>
      </c>
      <c r="T29" s="31"/>
      <c r="U29" s="717"/>
      <c r="V29" s="107" t="str">
        <f t="shared" si="10"/>
        <v/>
      </c>
      <c r="W29" s="706"/>
      <c r="X29" s="719"/>
      <c r="Y29" s="194" t="str">
        <f t="shared" si="11"/>
        <v/>
      </c>
      <c r="Z29" s="195" t="str">
        <f t="shared" si="12"/>
        <v/>
      </c>
      <c r="AB29" s="53" t="s">
        <v>0</v>
      </c>
      <c r="AZ29" s="71">
        <f t="shared" si="2"/>
        <v>15</v>
      </c>
      <c r="BA29" s="92" t="str">
        <f t="shared" si="0"/>
        <v/>
      </c>
      <c r="BB29" s="93" t="str">
        <f>IF(AZ29="","",IF(COUNTIF($BB$15:BB28,"="&amp;SMALL($Z$18:$Z$47,AZ29)),"",SMALL($Z$18:$Z$47,AZ29)))</f>
        <v/>
      </c>
      <c r="BC29" s="92">
        <f t="shared" si="3"/>
        <v>15</v>
      </c>
      <c r="BD29" s="94" t="str">
        <f t="shared" si="1"/>
        <v/>
      </c>
    </row>
    <row r="30" spans="2:56" x14ac:dyDescent="0.25">
      <c r="B30" s="707"/>
      <c r="C30" s="708"/>
      <c r="D30" s="706"/>
      <c r="E30" s="107" t="str">
        <f>IF(C30="","",VALUE(MID(D30,1,2)))</f>
        <v/>
      </c>
      <c r="F30" s="110" t="str">
        <f t="shared" si="4"/>
        <v/>
      </c>
      <c r="G30" s="714"/>
      <c r="H30" s="714"/>
      <c r="I30" s="714"/>
      <c r="J30" s="711"/>
      <c r="K30" s="712"/>
      <c r="L30" s="712"/>
      <c r="M30" s="713"/>
      <c r="N30" s="84" t="str">
        <f t="shared" si="6"/>
        <v/>
      </c>
      <c r="O30" s="711"/>
      <c r="P30" s="108" t="str">
        <f t="shared" si="7"/>
        <v>-</v>
      </c>
      <c r="Q30" s="85" t="str">
        <f t="shared" si="8"/>
        <v/>
      </c>
      <c r="R30" s="85" t="str">
        <f>IF(B30="","",IF(COUNTIF(B31:$B$48,B30)=0,SUMIF($B$18:$B$48,B30,$Q$18:$Q$48),""))</f>
        <v/>
      </c>
      <c r="S30" s="84" t="str">
        <f t="shared" si="9"/>
        <v/>
      </c>
      <c r="T30" s="31"/>
      <c r="U30" s="717"/>
      <c r="V30" s="107" t="str">
        <f t="shared" si="10"/>
        <v/>
      </c>
      <c r="W30" s="706"/>
      <c r="X30" s="719"/>
      <c r="Y30" s="194" t="str">
        <f t="shared" si="11"/>
        <v/>
      </c>
      <c r="Z30" s="195" t="str">
        <f t="shared" si="12"/>
        <v/>
      </c>
      <c r="AB30" s="53" t="s">
        <v>0</v>
      </c>
      <c r="AZ30" s="71">
        <f t="shared" si="2"/>
        <v>16</v>
      </c>
      <c r="BA30" s="92" t="str">
        <f t="shared" si="0"/>
        <v/>
      </c>
      <c r="BB30" s="93" t="str">
        <f>IF(AZ30="","",IF(COUNTIF($BB$15:BB29,"="&amp;SMALL($Z$18:$Z$47,AZ30)),"",SMALL($Z$18:$Z$47,AZ30)))</f>
        <v/>
      </c>
      <c r="BC30" s="92">
        <f t="shared" si="3"/>
        <v>16</v>
      </c>
      <c r="BD30" s="94" t="str">
        <f>IF(ISNA(VLOOKUP(BC30,$BA$15:$BB$44,2,0)),"",VLOOKUP(BC30,$BA$15:$BB$44,2,0))</f>
        <v/>
      </c>
    </row>
    <row r="31" spans="2:56" x14ac:dyDescent="0.25">
      <c r="B31" s="707"/>
      <c r="C31" s="708"/>
      <c r="D31" s="706"/>
      <c r="E31" s="107" t="str">
        <f t="shared" si="5"/>
        <v/>
      </c>
      <c r="F31" s="110" t="str">
        <f t="shared" si="4"/>
        <v/>
      </c>
      <c r="G31" s="714"/>
      <c r="H31" s="714"/>
      <c r="I31" s="714"/>
      <c r="J31" s="711"/>
      <c r="K31" s="712"/>
      <c r="L31" s="712"/>
      <c r="M31" s="713"/>
      <c r="N31" s="84" t="str">
        <f t="shared" si="6"/>
        <v/>
      </c>
      <c r="O31" s="711"/>
      <c r="P31" s="108" t="str">
        <f t="shared" si="7"/>
        <v>-</v>
      </c>
      <c r="Q31" s="85" t="str">
        <f t="shared" si="8"/>
        <v/>
      </c>
      <c r="R31" s="85" t="str">
        <f>IF(B31="","",IF(COUNTIF(B32:$B$48,B31)=0,SUMIF($B$18:$B$48,B31,$Q$18:$Q$48),""))</f>
        <v/>
      </c>
      <c r="S31" s="84" t="str">
        <f t="shared" si="9"/>
        <v/>
      </c>
      <c r="T31" s="31"/>
      <c r="U31" s="717"/>
      <c r="V31" s="107" t="str">
        <f t="shared" si="10"/>
        <v/>
      </c>
      <c r="W31" s="706"/>
      <c r="X31" s="719"/>
      <c r="Y31" s="194" t="str">
        <f t="shared" si="11"/>
        <v/>
      </c>
      <c r="Z31" s="195" t="str">
        <f t="shared" si="12"/>
        <v/>
      </c>
      <c r="AB31" s="53" t="s">
        <v>0</v>
      </c>
      <c r="AZ31" s="71">
        <f t="shared" si="2"/>
        <v>17</v>
      </c>
      <c r="BA31" s="92" t="str">
        <f t="shared" si="0"/>
        <v/>
      </c>
      <c r="BB31" s="93" t="str">
        <f>IF(AZ31="","",IF(COUNTIF($BB$15:BB30,"="&amp;SMALL($Z$18:$Z$47,AZ31)),"",SMALL($Z$18:$Z$47,AZ31)))</f>
        <v/>
      </c>
      <c r="BC31" s="92">
        <f t="shared" si="3"/>
        <v>17</v>
      </c>
      <c r="BD31" s="94" t="str">
        <f t="shared" si="1"/>
        <v/>
      </c>
    </row>
    <row r="32" spans="2:56" x14ac:dyDescent="0.25">
      <c r="B32" s="707"/>
      <c r="C32" s="708"/>
      <c r="D32" s="706"/>
      <c r="E32" s="107" t="str">
        <f t="shared" si="5"/>
        <v/>
      </c>
      <c r="F32" s="110" t="str">
        <f t="shared" si="4"/>
        <v/>
      </c>
      <c r="G32" s="714"/>
      <c r="H32" s="714"/>
      <c r="I32" s="714"/>
      <c r="J32" s="711"/>
      <c r="K32" s="712"/>
      <c r="L32" s="712"/>
      <c r="M32" s="713"/>
      <c r="N32" s="84" t="str">
        <f t="shared" si="6"/>
        <v/>
      </c>
      <c r="O32" s="711"/>
      <c r="P32" s="108" t="str">
        <f t="shared" si="7"/>
        <v>-</v>
      </c>
      <c r="Q32" s="85" t="str">
        <f t="shared" si="8"/>
        <v/>
      </c>
      <c r="R32" s="85" t="str">
        <f>IF(B32="","",IF(COUNTIF(B33:$B$48,B32)=0,SUMIF($B$18:$B$48,B32,$Q$18:$Q$48),""))</f>
        <v/>
      </c>
      <c r="S32" s="84" t="str">
        <f t="shared" si="9"/>
        <v/>
      </c>
      <c r="T32" s="31"/>
      <c r="U32" s="717"/>
      <c r="V32" s="107" t="str">
        <f t="shared" si="10"/>
        <v/>
      </c>
      <c r="W32" s="706"/>
      <c r="X32" s="719"/>
      <c r="Y32" s="194" t="str">
        <f t="shared" si="11"/>
        <v/>
      </c>
      <c r="Z32" s="195" t="str">
        <f t="shared" si="12"/>
        <v/>
      </c>
      <c r="AB32" s="53" t="s">
        <v>0</v>
      </c>
      <c r="AZ32" s="71">
        <f t="shared" si="2"/>
        <v>18</v>
      </c>
      <c r="BA32" s="92" t="str">
        <f t="shared" si="0"/>
        <v/>
      </c>
      <c r="BB32" s="93" t="str">
        <f>IF(AZ32="","",IF(COUNTIF($BB$15:BB31,"="&amp;SMALL($Z$18:$Z$47,AZ32)),"",SMALL($Z$18:$Z$47,AZ32)))</f>
        <v/>
      </c>
      <c r="BC32" s="92">
        <f t="shared" si="3"/>
        <v>18</v>
      </c>
      <c r="BD32" s="94" t="str">
        <f t="shared" si="1"/>
        <v/>
      </c>
    </row>
    <row r="33" spans="2:57" x14ac:dyDescent="0.25">
      <c r="B33" s="707"/>
      <c r="C33" s="708"/>
      <c r="D33" s="706"/>
      <c r="E33" s="107" t="str">
        <f t="shared" si="5"/>
        <v/>
      </c>
      <c r="F33" s="110" t="str">
        <f t="shared" si="4"/>
        <v/>
      </c>
      <c r="G33" s="714"/>
      <c r="H33" s="714"/>
      <c r="I33" s="714"/>
      <c r="J33" s="711"/>
      <c r="K33" s="712"/>
      <c r="L33" s="712"/>
      <c r="M33" s="713"/>
      <c r="N33" s="84" t="str">
        <f t="shared" si="6"/>
        <v/>
      </c>
      <c r="O33" s="711"/>
      <c r="P33" s="108" t="str">
        <f t="shared" si="7"/>
        <v>-</v>
      </c>
      <c r="Q33" s="85" t="str">
        <f t="shared" si="8"/>
        <v/>
      </c>
      <c r="R33" s="85" t="str">
        <f>IF(B33="","",IF(COUNTIF(B34:$B$48,B33)=0,SUMIF($B$18:$B$48,B33,$Q$18:$Q$48),""))</f>
        <v/>
      </c>
      <c r="S33" s="84" t="str">
        <f t="shared" si="9"/>
        <v/>
      </c>
      <c r="T33" s="31"/>
      <c r="U33" s="717"/>
      <c r="V33" s="107" t="str">
        <f t="shared" si="10"/>
        <v/>
      </c>
      <c r="W33" s="706"/>
      <c r="X33" s="719"/>
      <c r="Y33" s="194" t="str">
        <f t="shared" si="11"/>
        <v/>
      </c>
      <c r="Z33" s="195" t="str">
        <f t="shared" si="12"/>
        <v/>
      </c>
      <c r="AB33" s="53" t="s">
        <v>0</v>
      </c>
      <c r="AZ33" s="71">
        <f t="shared" si="2"/>
        <v>19</v>
      </c>
      <c r="BA33" s="92" t="str">
        <f t="shared" si="0"/>
        <v/>
      </c>
      <c r="BB33" s="93" t="str">
        <f>IF(AZ33="","",IF(COUNTIF($BB$15:BB32,"="&amp;SMALL($Z$18:$Z$47,AZ33)),"",SMALL($Z$18:$Z$47,AZ33)))</f>
        <v/>
      </c>
      <c r="BC33" s="92">
        <f t="shared" si="3"/>
        <v>19</v>
      </c>
      <c r="BD33" s="94" t="str">
        <f t="shared" si="1"/>
        <v/>
      </c>
    </row>
    <row r="34" spans="2:57" x14ac:dyDescent="0.25">
      <c r="B34" s="707"/>
      <c r="C34" s="708"/>
      <c r="D34" s="706"/>
      <c r="E34" s="107" t="str">
        <f t="shared" si="5"/>
        <v/>
      </c>
      <c r="F34" s="110" t="str">
        <f t="shared" si="4"/>
        <v/>
      </c>
      <c r="G34" s="714"/>
      <c r="H34" s="714"/>
      <c r="I34" s="714"/>
      <c r="J34" s="711"/>
      <c r="K34" s="712"/>
      <c r="L34" s="712"/>
      <c r="M34" s="713"/>
      <c r="N34" s="84" t="str">
        <f t="shared" si="6"/>
        <v/>
      </c>
      <c r="O34" s="711"/>
      <c r="P34" s="108" t="str">
        <f t="shared" si="7"/>
        <v>-</v>
      </c>
      <c r="Q34" s="85" t="str">
        <f t="shared" si="8"/>
        <v/>
      </c>
      <c r="R34" s="85" t="str">
        <f>IF(B34="","",IF(COUNTIF(B35:$B$48,B34)=0,SUMIF($B$18:$B$48,B34,$Q$18:$Q$48),""))</f>
        <v/>
      </c>
      <c r="S34" s="84" t="str">
        <f t="shared" si="9"/>
        <v/>
      </c>
      <c r="T34" s="31"/>
      <c r="U34" s="717"/>
      <c r="V34" s="107" t="str">
        <f t="shared" si="10"/>
        <v/>
      </c>
      <c r="W34" s="706"/>
      <c r="X34" s="719"/>
      <c r="Y34" s="194" t="str">
        <f t="shared" si="11"/>
        <v/>
      </c>
      <c r="Z34" s="195" t="str">
        <f t="shared" si="12"/>
        <v/>
      </c>
      <c r="AB34" s="53" t="s">
        <v>0</v>
      </c>
      <c r="AZ34" s="71">
        <f t="shared" si="2"/>
        <v>20</v>
      </c>
      <c r="BA34" s="92" t="str">
        <f t="shared" si="0"/>
        <v/>
      </c>
      <c r="BB34" s="93" t="str">
        <f>IF(AZ34="","",IF(COUNTIF($BB$15:BB33,"="&amp;SMALL($Z$18:$Z$47,AZ34)),"",SMALL($Z$18:$Z$47,AZ34)))</f>
        <v/>
      </c>
      <c r="BC34" s="92">
        <f t="shared" si="3"/>
        <v>20</v>
      </c>
      <c r="BD34" s="94" t="str">
        <f t="shared" si="1"/>
        <v/>
      </c>
    </row>
    <row r="35" spans="2:57" x14ac:dyDescent="0.25">
      <c r="B35" s="707"/>
      <c r="C35" s="708"/>
      <c r="D35" s="706"/>
      <c r="E35" s="107" t="str">
        <f t="shared" si="5"/>
        <v/>
      </c>
      <c r="F35" s="110" t="str">
        <f t="shared" si="4"/>
        <v/>
      </c>
      <c r="G35" s="714"/>
      <c r="H35" s="714"/>
      <c r="I35" s="714"/>
      <c r="J35" s="711"/>
      <c r="K35" s="712"/>
      <c r="L35" s="712"/>
      <c r="M35" s="713"/>
      <c r="N35" s="84" t="str">
        <f t="shared" si="6"/>
        <v/>
      </c>
      <c r="O35" s="711"/>
      <c r="P35" s="108" t="str">
        <f t="shared" si="7"/>
        <v>-</v>
      </c>
      <c r="Q35" s="85" t="str">
        <f t="shared" si="8"/>
        <v/>
      </c>
      <c r="R35" s="85" t="str">
        <f>IF(B35="","",IF(COUNTIF(B36:$B$48,B35)=0,SUMIF($B$18:$B$48,B35,$Q$18:$Q$48),""))</f>
        <v/>
      </c>
      <c r="S35" s="84" t="str">
        <f t="shared" si="9"/>
        <v/>
      </c>
      <c r="T35" s="31"/>
      <c r="U35" s="717"/>
      <c r="V35" s="107" t="str">
        <f t="shared" si="10"/>
        <v/>
      </c>
      <c r="W35" s="706"/>
      <c r="X35" s="719"/>
      <c r="Y35" s="194" t="str">
        <f t="shared" si="11"/>
        <v/>
      </c>
      <c r="Z35" s="195" t="str">
        <f t="shared" si="12"/>
        <v/>
      </c>
      <c r="AB35" s="53" t="s">
        <v>0</v>
      </c>
      <c r="AZ35" s="71">
        <f t="shared" si="2"/>
        <v>21</v>
      </c>
      <c r="BA35" s="92" t="str">
        <f t="shared" si="0"/>
        <v/>
      </c>
      <c r="BB35" s="93" t="str">
        <f>IF(AZ35="","",IF(COUNTIF($BB$15:BB34,"="&amp;SMALL($Z$18:$Z$47,AZ35)),"",SMALL($Z$18:$Z$47,AZ35)))</f>
        <v/>
      </c>
      <c r="BC35" s="92">
        <f t="shared" si="3"/>
        <v>21</v>
      </c>
      <c r="BD35" s="94" t="str">
        <f t="shared" si="1"/>
        <v/>
      </c>
    </row>
    <row r="36" spans="2:57" x14ac:dyDescent="0.25">
      <c r="B36" s="707"/>
      <c r="C36" s="708"/>
      <c r="D36" s="706"/>
      <c r="E36" s="107" t="str">
        <f t="shared" si="5"/>
        <v/>
      </c>
      <c r="F36" s="110" t="str">
        <f t="shared" si="4"/>
        <v/>
      </c>
      <c r="G36" s="714"/>
      <c r="H36" s="714"/>
      <c r="I36" s="714"/>
      <c r="J36" s="711"/>
      <c r="K36" s="712"/>
      <c r="L36" s="712"/>
      <c r="M36" s="713"/>
      <c r="N36" s="84" t="str">
        <f t="shared" si="6"/>
        <v/>
      </c>
      <c r="O36" s="711"/>
      <c r="P36" s="108" t="str">
        <f t="shared" si="7"/>
        <v>-</v>
      </c>
      <c r="Q36" s="85" t="str">
        <f t="shared" si="8"/>
        <v/>
      </c>
      <c r="R36" s="85" t="str">
        <f>IF(B36="","",IF(COUNTIF(B37:$B$48,B36)=0,SUMIF($B$18:$B$48,B36,$Q$18:$Q$48),""))</f>
        <v/>
      </c>
      <c r="S36" s="84" t="str">
        <f t="shared" si="9"/>
        <v/>
      </c>
      <c r="T36" s="31"/>
      <c r="U36" s="717"/>
      <c r="V36" s="107" t="str">
        <f t="shared" si="10"/>
        <v/>
      </c>
      <c r="W36" s="706"/>
      <c r="X36" s="719"/>
      <c r="Y36" s="194" t="str">
        <f t="shared" si="11"/>
        <v/>
      </c>
      <c r="Z36" s="195" t="str">
        <f t="shared" si="12"/>
        <v/>
      </c>
      <c r="AB36" s="53" t="s">
        <v>0</v>
      </c>
      <c r="AZ36" s="71">
        <f t="shared" si="2"/>
        <v>22</v>
      </c>
      <c r="BA36" s="92" t="str">
        <f t="shared" si="0"/>
        <v/>
      </c>
      <c r="BB36" s="93" t="str">
        <f>IF(AZ36="","",IF(COUNTIF($BB$15:BB35,"="&amp;SMALL($Z$18:$Z$47,AZ36)),"",SMALL($Z$18:$Z$47,AZ36)))</f>
        <v/>
      </c>
      <c r="BC36" s="92">
        <f t="shared" si="3"/>
        <v>22</v>
      </c>
      <c r="BD36" s="94" t="str">
        <f t="shared" si="1"/>
        <v/>
      </c>
    </row>
    <row r="37" spans="2:57" x14ac:dyDescent="0.25">
      <c r="B37" s="707"/>
      <c r="C37" s="708"/>
      <c r="D37" s="706"/>
      <c r="E37" s="107" t="str">
        <f t="shared" si="5"/>
        <v/>
      </c>
      <c r="F37" s="110" t="str">
        <f t="shared" si="4"/>
        <v/>
      </c>
      <c r="G37" s="714"/>
      <c r="H37" s="714"/>
      <c r="I37" s="714"/>
      <c r="J37" s="711"/>
      <c r="K37" s="712"/>
      <c r="L37" s="712"/>
      <c r="M37" s="713"/>
      <c r="N37" s="84" t="str">
        <f t="shared" si="6"/>
        <v/>
      </c>
      <c r="O37" s="711"/>
      <c r="P37" s="108" t="str">
        <f t="shared" si="7"/>
        <v>-</v>
      </c>
      <c r="Q37" s="85" t="str">
        <f t="shared" si="8"/>
        <v/>
      </c>
      <c r="R37" s="85" t="str">
        <f>IF(B37="","",IF(COUNTIF(B38:$B$48,B37)=0,SUMIF($B$18:$B$48,B37,$Q$18:$Q$48),""))</f>
        <v/>
      </c>
      <c r="S37" s="84" t="str">
        <f t="shared" si="9"/>
        <v/>
      </c>
      <c r="T37" s="31"/>
      <c r="U37" s="717"/>
      <c r="V37" s="107" t="str">
        <f t="shared" si="10"/>
        <v/>
      </c>
      <c r="W37" s="706"/>
      <c r="X37" s="719"/>
      <c r="Y37" s="194" t="str">
        <f t="shared" si="11"/>
        <v/>
      </c>
      <c r="Z37" s="195" t="str">
        <f t="shared" si="12"/>
        <v/>
      </c>
      <c r="AB37" s="53" t="s">
        <v>0</v>
      </c>
      <c r="AZ37" s="71">
        <f t="shared" si="2"/>
        <v>23</v>
      </c>
      <c r="BA37" s="92" t="str">
        <f t="shared" si="0"/>
        <v/>
      </c>
      <c r="BB37" s="93" t="str">
        <f>IF(AZ37="","",IF(COUNTIF($BB$15:BB36,"="&amp;SMALL($Z$18:$Z$47,AZ37)),"",SMALL($Z$18:$Z$47,AZ37)))</f>
        <v/>
      </c>
      <c r="BC37" s="92">
        <f t="shared" si="3"/>
        <v>23</v>
      </c>
      <c r="BD37" s="94" t="str">
        <f t="shared" si="1"/>
        <v/>
      </c>
    </row>
    <row r="38" spans="2:57" x14ac:dyDescent="0.25">
      <c r="B38" s="707"/>
      <c r="C38" s="708"/>
      <c r="D38" s="706"/>
      <c r="E38" s="107" t="str">
        <f t="shared" si="5"/>
        <v/>
      </c>
      <c r="F38" s="110" t="str">
        <f t="shared" si="4"/>
        <v/>
      </c>
      <c r="G38" s="714"/>
      <c r="H38" s="714"/>
      <c r="I38" s="714"/>
      <c r="J38" s="711"/>
      <c r="K38" s="712"/>
      <c r="L38" s="712"/>
      <c r="M38" s="713"/>
      <c r="N38" s="84" t="str">
        <f t="shared" si="6"/>
        <v/>
      </c>
      <c r="O38" s="711"/>
      <c r="P38" s="108" t="str">
        <f t="shared" si="7"/>
        <v>-</v>
      </c>
      <c r="Q38" s="85" t="str">
        <f t="shared" si="8"/>
        <v/>
      </c>
      <c r="R38" s="85" t="str">
        <f>IF(B38="","",IF(COUNTIF(B39:$B$48,B38)=0,SUMIF($B$18:$B$48,B38,$Q$18:$Q$48),""))</f>
        <v/>
      </c>
      <c r="S38" s="84" t="str">
        <f t="shared" si="9"/>
        <v/>
      </c>
      <c r="T38" s="31"/>
      <c r="U38" s="717"/>
      <c r="V38" s="107" t="str">
        <f t="shared" si="10"/>
        <v/>
      </c>
      <c r="W38" s="706"/>
      <c r="X38" s="719"/>
      <c r="Y38" s="194" t="str">
        <f t="shared" si="11"/>
        <v/>
      </c>
      <c r="Z38" s="195" t="str">
        <f t="shared" si="12"/>
        <v/>
      </c>
      <c r="AB38" s="53" t="s">
        <v>0</v>
      </c>
      <c r="AZ38" s="71">
        <f t="shared" si="2"/>
        <v>24</v>
      </c>
      <c r="BA38" s="92" t="str">
        <f t="shared" si="0"/>
        <v/>
      </c>
      <c r="BB38" s="93" t="str">
        <f>IF(AZ38="","",IF(COUNTIF($BB$15:BB37,"="&amp;SMALL($Z$18:$Z$47,AZ38)),"",SMALL($Z$18:$Z$47,AZ38)))</f>
        <v/>
      </c>
      <c r="BC38" s="92">
        <f t="shared" si="3"/>
        <v>24</v>
      </c>
      <c r="BD38" s="94" t="str">
        <f t="shared" si="1"/>
        <v/>
      </c>
    </row>
    <row r="39" spans="2:57" x14ac:dyDescent="0.25">
      <c r="B39" s="707"/>
      <c r="C39" s="708"/>
      <c r="D39" s="706"/>
      <c r="E39" s="107" t="str">
        <f t="shared" si="5"/>
        <v/>
      </c>
      <c r="F39" s="110" t="str">
        <f t="shared" si="4"/>
        <v/>
      </c>
      <c r="G39" s="714"/>
      <c r="H39" s="714"/>
      <c r="I39" s="714"/>
      <c r="J39" s="711"/>
      <c r="K39" s="712"/>
      <c r="L39" s="712"/>
      <c r="M39" s="713"/>
      <c r="N39" s="84" t="str">
        <f t="shared" si="6"/>
        <v/>
      </c>
      <c r="O39" s="711"/>
      <c r="P39" s="108" t="str">
        <f t="shared" si="7"/>
        <v>-</v>
      </c>
      <c r="Q39" s="85" t="str">
        <f t="shared" si="8"/>
        <v/>
      </c>
      <c r="R39" s="85" t="str">
        <f>IF(B39="","",IF(COUNTIF(B40:$B$48,B39)=0,SUMIF($B$18:$B$48,B39,$Q$18:$Q$48),""))</f>
        <v/>
      </c>
      <c r="S39" s="84" t="str">
        <f t="shared" si="9"/>
        <v/>
      </c>
      <c r="T39" s="31"/>
      <c r="U39" s="717"/>
      <c r="V39" s="107" t="str">
        <f t="shared" si="10"/>
        <v/>
      </c>
      <c r="W39" s="706"/>
      <c r="X39" s="719"/>
      <c r="Y39" s="194" t="str">
        <f t="shared" si="11"/>
        <v/>
      </c>
      <c r="Z39" s="195" t="str">
        <f t="shared" si="12"/>
        <v/>
      </c>
      <c r="AB39" s="53" t="s">
        <v>0</v>
      </c>
      <c r="AZ39" s="71">
        <f t="shared" si="2"/>
        <v>25</v>
      </c>
      <c r="BA39" s="92" t="str">
        <f t="shared" si="0"/>
        <v/>
      </c>
      <c r="BB39" s="93" t="str">
        <f>IF(AZ39="","",IF(COUNTIF($BB$15:BB38,"="&amp;SMALL($Z$18:$Z$47,AZ39)),"",SMALL($Z$18:$Z$47,AZ39)))</f>
        <v/>
      </c>
      <c r="BC39" s="92">
        <f t="shared" si="3"/>
        <v>25</v>
      </c>
      <c r="BD39" s="94" t="str">
        <f t="shared" si="1"/>
        <v/>
      </c>
    </row>
    <row r="40" spans="2:57" x14ac:dyDescent="0.25">
      <c r="B40" s="707"/>
      <c r="C40" s="708"/>
      <c r="D40" s="706"/>
      <c r="E40" s="107" t="str">
        <f t="shared" si="5"/>
        <v/>
      </c>
      <c r="F40" s="110" t="str">
        <f t="shared" si="4"/>
        <v/>
      </c>
      <c r="G40" s="714"/>
      <c r="H40" s="714"/>
      <c r="I40" s="714"/>
      <c r="J40" s="711"/>
      <c r="K40" s="712"/>
      <c r="L40" s="712"/>
      <c r="M40" s="713"/>
      <c r="N40" s="84" t="str">
        <f t="shared" si="6"/>
        <v/>
      </c>
      <c r="O40" s="711"/>
      <c r="P40" s="108" t="str">
        <f t="shared" si="7"/>
        <v>-</v>
      </c>
      <c r="Q40" s="85" t="str">
        <f t="shared" si="8"/>
        <v/>
      </c>
      <c r="R40" s="85" t="str">
        <f>IF(B40="","",IF(COUNTIF(B41:$B$48,B40)=0,SUMIF($B$18:$B$48,B40,$Q$18:$Q$48),""))</f>
        <v/>
      </c>
      <c r="S40" s="84" t="str">
        <f t="shared" si="9"/>
        <v/>
      </c>
      <c r="T40" s="31"/>
      <c r="U40" s="717"/>
      <c r="V40" s="107" t="str">
        <f t="shared" si="10"/>
        <v/>
      </c>
      <c r="W40" s="706"/>
      <c r="X40" s="719"/>
      <c r="Y40" s="194" t="str">
        <f t="shared" si="11"/>
        <v/>
      </c>
      <c r="Z40" s="195" t="str">
        <f t="shared" si="12"/>
        <v/>
      </c>
      <c r="AB40" s="53" t="s">
        <v>0</v>
      </c>
      <c r="AZ40" s="71">
        <f t="shared" si="2"/>
        <v>26</v>
      </c>
      <c r="BA40" s="92" t="str">
        <f t="shared" si="0"/>
        <v/>
      </c>
      <c r="BB40" s="93" t="str">
        <f>IF(AZ40="","",IF(COUNTIF($BB$15:BB39,"="&amp;SMALL($Z$18:$Z$47,AZ40)),"",SMALL($Z$18:$Z$47,AZ40)))</f>
        <v/>
      </c>
      <c r="BC40" s="92">
        <f t="shared" si="3"/>
        <v>26</v>
      </c>
      <c r="BD40" s="94" t="str">
        <f t="shared" si="1"/>
        <v/>
      </c>
    </row>
    <row r="41" spans="2:57" x14ac:dyDescent="0.25">
      <c r="B41" s="707"/>
      <c r="C41" s="708"/>
      <c r="D41" s="706"/>
      <c r="E41" s="107" t="str">
        <f t="shared" si="5"/>
        <v/>
      </c>
      <c r="F41" s="110" t="str">
        <f t="shared" si="4"/>
        <v/>
      </c>
      <c r="G41" s="714"/>
      <c r="H41" s="714"/>
      <c r="I41" s="714"/>
      <c r="J41" s="711"/>
      <c r="K41" s="712"/>
      <c r="L41" s="712"/>
      <c r="M41" s="713"/>
      <c r="N41" s="84" t="str">
        <f t="shared" si="6"/>
        <v/>
      </c>
      <c r="O41" s="711"/>
      <c r="P41" s="108" t="str">
        <f t="shared" si="7"/>
        <v>-</v>
      </c>
      <c r="Q41" s="85" t="str">
        <f t="shared" si="8"/>
        <v/>
      </c>
      <c r="R41" s="85" t="str">
        <f>IF(B41="","",IF(COUNTIF(B42:$B$48,B41)=0,SUMIF($B$18:$B$48,B41,$Q$18:$Q$48),""))</f>
        <v/>
      </c>
      <c r="S41" s="84" t="str">
        <f t="shared" si="9"/>
        <v/>
      </c>
      <c r="T41" s="31"/>
      <c r="U41" s="717"/>
      <c r="V41" s="107" t="str">
        <f t="shared" si="10"/>
        <v/>
      </c>
      <c r="W41" s="706"/>
      <c r="X41" s="719"/>
      <c r="Y41" s="194" t="str">
        <f t="shared" si="11"/>
        <v/>
      </c>
      <c r="Z41" s="195" t="str">
        <f t="shared" si="12"/>
        <v/>
      </c>
      <c r="AB41" s="53" t="s">
        <v>0</v>
      </c>
      <c r="AZ41" s="71">
        <f t="shared" si="2"/>
        <v>27</v>
      </c>
      <c r="BA41" s="92" t="str">
        <f t="shared" si="0"/>
        <v/>
      </c>
      <c r="BB41" s="93" t="str">
        <f>IF(AZ41="","",IF(COUNTIF($BB$15:BB40,"="&amp;SMALL($Z$18:$Z$47,AZ41)),"",SMALL($Z$18:$Z$47,AZ41)))</f>
        <v/>
      </c>
      <c r="BC41" s="92">
        <f t="shared" si="3"/>
        <v>27</v>
      </c>
      <c r="BD41" s="94" t="str">
        <f t="shared" si="1"/>
        <v/>
      </c>
    </row>
    <row r="42" spans="2:57" x14ac:dyDescent="0.25">
      <c r="B42" s="707"/>
      <c r="C42" s="708"/>
      <c r="D42" s="706"/>
      <c r="E42" s="107" t="str">
        <f>IF(C42="","",VALUE(MID(D42,1,2)))</f>
        <v/>
      </c>
      <c r="F42" s="110" t="str">
        <f t="shared" si="4"/>
        <v/>
      </c>
      <c r="G42" s="714"/>
      <c r="H42" s="714"/>
      <c r="I42" s="714"/>
      <c r="J42" s="711"/>
      <c r="K42" s="712"/>
      <c r="L42" s="712"/>
      <c r="M42" s="713"/>
      <c r="N42" s="84" t="str">
        <f t="shared" si="6"/>
        <v/>
      </c>
      <c r="O42" s="711"/>
      <c r="P42" s="108" t="str">
        <f t="shared" si="7"/>
        <v>-</v>
      </c>
      <c r="Q42" s="85" t="str">
        <f t="shared" si="8"/>
        <v/>
      </c>
      <c r="R42" s="85" t="str">
        <f>IF(B42="","",IF(COUNTIF(B43:$B$48,B42)=0,SUMIF($B$18:$B$48,B42,$Q$18:$Q$48),""))</f>
        <v/>
      </c>
      <c r="S42" s="84" t="str">
        <f t="shared" si="9"/>
        <v/>
      </c>
      <c r="T42" s="31"/>
      <c r="U42" s="717"/>
      <c r="V42" s="107" t="str">
        <f t="shared" si="10"/>
        <v/>
      </c>
      <c r="W42" s="706"/>
      <c r="X42" s="719"/>
      <c r="Y42" s="194" t="str">
        <f t="shared" si="11"/>
        <v/>
      </c>
      <c r="Z42" s="195" t="str">
        <f t="shared" si="12"/>
        <v/>
      </c>
      <c r="AB42" s="53" t="s">
        <v>0</v>
      </c>
      <c r="AZ42" s="71">
        <f t="shared" si="2"/>
        <v>28</v>
      </c>
      <c r="BA42" s="92" t="str">
        <f t="shared" si="0"/>
        <v/>
      </c>
      <c r="BB42" s="93" t="str">
        <f>IF(AZ42="","",IF(COUNTIF($BB$15:BB41,"="&amp;SMALL($Z$18:$Z$47,AZ42)),"",SMALL($Z$18:$Z$47,AZ42)))</f>
        <v/>
      </c>
      <c r="BC42" s="92">
        <f t="shared" si="3"/>
        <v>28</v>
      </c>
      <c r="BD42" s="94" t="str">
        <f t="shared" si="1"/>
        <v/>
      </c>
    </row>
    <row r="43" spans="2:57" x14ac:dyDescent="0.25">
      <c r="B43" s="707"/>
      <c r="C43" s="708"/>
      <c r="D43" s="706"/>
      <c r="E43" s="107" t="str">
        <f t="shared" si="5"/>
        <v/>
      </c>
      <c r="F43" s="110" t="str">
        <f t="shared" si="4"/>
        <v/>
      </c>
      <c r="G43" s="714"/>
      <c r="H43" s="714"/>
      <c r="I43" s="714"/>
      <c r="J43" s="711"/>
      <c r="K43" s="712"/>
      <c r="L43" s="712"/>
      <c r="M43" s="713"/>
      <c r="N43" s="84" t="str">
        <f t="shared" si="6"/>
        <v/>
      </c>
      <c r="O43" s="711"/>
      <c r="P43" s="108" t="str">
        <f t="shared" si="7"/>
        <v>-</v>
      </c>
      <c r="Q43" s="85" t="str">
        <f t="shared" si="8"/>
        <v/>
      </c>
      <c r="R43" s="85" t="str">
        <f>IF(B43="","",IF(COUNTIF(B44:$B$48,B43)=0,SUMIF($B$18:$B$48,B43,$Q$18:$Q$48),""))</f>
        <v/>
      </c>
      <c r="S43" s="84" t="str">
        <f t="shared" si="9"/>
        <v/>
      </c>
      <c r="T43" s="31"/>
      <c r="U43" s="717"/>
      <c r="V43" s="107" t="str">
        <f t="shared" si="10"/>
        <v/>
      </c>
      <c r="W43" s="706"/>
      <c r="X43" s="719"/>
      <c r="Y43" s="194" t="str">
        <f t="shared" si="11"/>
        <v/>
      </c>
      <c r="Z43" s="195" t="str">
        <f t="shared" si="12"/>
        <v/>
      </c>
      <c r="AB43" s="53" t="s">
        <v>0</v>
      </c>
      <c r="AZ43" s="71">
        <f t="shared" si="2"/>
        <v>29</v>
      </c>
      <c r="BA43" s="92" t="str">
        <f t="shared" si="0"/>
        <v/>
      </c>
      <c r="BB43" s="93" t="str">
        <f>IF(AZ43="","",IF(COUNTIF($BB$15:BB42,"="&amp;SMALL($Z$18:$Z$47,AZ43)),"",SMALL($Z$18:$Z$47,AZ43)))</f>
        <v/>
      </c>
      <c r="BC43" s="92">
        <f t="shared" si="3"/>
        <v>29</v>
      </c>
      <c r="BD43" s="94" t="str">
        <f t="shared" si="1"/>
        <v/>
      </c>
    </row>
    <row r="44" spans="2:57" x14ac:dyDescent="0.25">
      <c r="B44" s="707"/>
      <c r="C44" s="708"/>
      <c r="D44" s="706"/>
      <c r="E44" s="107" t="str">
        <f t="shared" si="5"/>
        <v/>
      </c>
      <c r="F44" s="110" t="str">
        <f t="shared" si="4"/>
        <v/>
      </c>
      <c r="G44" s="714"/>
      <c r="H44" s="714"/>
      <c r="I44" s="714"/>
      <c r="J44" s="711"/>
      <c r="K44" s="712"/>
      <c r="L44" s="712"/>
      <c r="M44" s="713"/>
      <c r="N44" s="84" t="str">
        <f t="shared" si="6"/>
        <v/>
      </c>
      <c r="O44" s="711"/>
      <c r="P44" s="108" t="str">
        <f t="shared" si="7"/>
        <v>-</v>
      </c>
      <c r="Q44" s="85" t="str">
        <f t="shared" si="8"/>
        <v/>
      </c>
      <c r="R44" s="85" t="str">
        <f>IF(B44="","",IF(COUNTIF(B45:$B$48,B44)=0,SUMIF($B$18:$B$48,B44,$Q$18:$Q$48),""))</f>
        <v/>
      </c>
      <c r="S44" s="84" t="str">
        <f t="shared" si="9"/>
        <v/>
      </c>
      <c r="T44" s="31"/>
      <c r="U44" s="717"/>
      <c r="V44" s="107" t="str">
        <f t="shared" si="10"/>
        <v/>
      </c>
      <c r="W44" s="706"/>
      <c r="X44" s="719"/>
      <c r="Y44" s="194" t="str">
        <f t="shared" si="11"/>
        <v/>
      </c>
      <c r="Z44" s="195" t="str">
        <f t="shared" si="12"/>
        <v/>
      </c>
      <c r="AB44" s="53" t="s">
        <v>0</v>
      </c>
      <c r="AZ44" s="72">
        <f t="shared" si="2"/>
        <v>30</v>
      </c>
      <c r="BA44" s="90" t="str">
        <f t="shared" si="0"/>
        <v/>
      </c>
      <c r="BB44" s="114" t="str">
        <f>IF(AZ44="","",IF(COUNTIF($BB$15:BB43,"="&amp;SMALL($Z$18:$Z$47,AZ44)),"",SMALL($Z$18:$Z$47,AZ44)))</f>
        <v/>
      </c>
      <c r="BC44" s="90">
        <f t="shared" si="3"/>
        <v>30</v>
      </c>
      <c r="BD44" s="115" t="str">
        <f t="shared" si="1"/>
        <v/>
      </c>
    </row>
    <row r="45" spans="2:57" x14ac:dyDescent="0.25">
      <c r="B45" s="707"/>
      <c r="C45" s="708"/>
      <c r="D45" s="706"/>
      <c r="E45" s="107" t="str">
        <f>IF(C45="","",VALUE(MID(D45,1,2)))</f>
        <v/>
      </c>
      <c r="F45" s="110" t="str">
        <f t="shared" si="4"/>
        <v/>
      </c>
      <c r="G45" s="714"/>
      <c r="H45" s="714"/>
      <c r="I45" s="714"/>
      <c r="J45" s="711"/>
      <c r="K45" s="712"/>
      <c r="L45" s="712"/>
      <c r="M45" s="713"/>
      <c r="N45" s="84" t="str">
        <f t="shared" si="6"/>
        <v/>
      </c>
      <c r="O45" s="711"/>
      <c r="P45" s="108" t="str">
        <f t="shared" si="7"/>
        <v>-</v>
      </c>
      <c r="Q45" s="85" t="str">
        <f t="shared" si="8"/>
        <v/>
      </c>
      <c r="R45" s="85" t="str">
        <f>IF(B45="","",IF(COUNTIF(B46:$B$48,B45)=0,SUMIF($B$18:$B$48,B45,$Q$18:$Q$48),""))</f>
        <v/>
      </c>
      <c r="S45" s="84" t="str">
        <f t="shared" si="9"/>
        <v/>
      </c>
      <c r="T45" s="31"/>
      <c r="U45" s="717"/>
      <c r="V45" s="107" t="str">
        <f t="shared" si="10"/>
        <v/>
      </c>
      <c r="W45" s="706"/>
      <c r="X45" s="719"/>
      <c r="Y45" s="194" t="str">
        <f t="shared" si="11"/>
        <v/>
      </c>
      <c r="Z45" s="195" t="str">
        <f t="shared" si="12"/>
        <v/>
      </c>
      <c r="AB45" s="53" t="s">
        <v>0</v>
      </c>
      <c r="AY45" s="18"/>
      <c r="AZ45" s="92"/>
      <c r="BA45" s="18"/>
      <c r="BB45" s="18"/>
      <c r="BC45" s="18"/>
      <c r="BD45" s="18"/>
      <c r="BE45" s="18"/>
    </row>
    <row r="46" spans="2:57" x14ac:dyDescent="0.25">
      <c r="B46" s="707"/>
      <c r="C46" s="708"/>
      <c r="D46" s="706"/>
      <c r="E46" s="107" t="str">
        <f t="shared" si="5"/>
        <v/>
      </c>
      <c r="F46" s="110" t="str">
        <f t="shared" si="4"/>
        <v/>
      </c>
      <c r="G46" s="714"/>
      <c r="H46" s="714"/>
      <c r="I46" s="714"/>
      <c r="J46" s="711"/>
      <c r="K46" s="712"/>
      <c r="L46" s="712"/>
      <c r="M46" s="713"/>
      <c r="N46" s="84" t="str">
        <f t="shared" si="6"/>
        <v/>
      </c>
      <c r="O46" s="711"/>
      <c r="P46" s="108" t="str">
        <f t="shared" si="7"/>
        <v>-</v>
      </c>
      <c r="Q46" s="85" t="str">
        <f t="shared" si="8"/>
        <v/>
      </c>
      <c r="R46" s="85" t="str">
        <f>IF(B46="","",IF(COUNTIF(B47:$B$48,B46)=0,SUMIF($B$18:$B$48,B46,$Q$18:$Q$48),""))</f>
        <v/>
      </c>
      <c r="S46" s="84" t="str">
        <f t="shared" si="9"/>
        <v/>
      </c>
      <c r="T46" s="31"/>
      <c r="U46" s="717"/>
      <c r="V46" s="107" t="str">
        <f t="shared" si="10"/>
        <v/>
      </c>
      <c r="W46" s="706"/>
      <c r="X46" s="719"/>
      <c r="Y46" s="194" t="str">
        <f t="shared" si="11"/>
        <v/>
      </c>
      <c r="Z46" s="195" t="str">
        <f t="shared" si="12"/>
        <v/>
      </c>
      <c r="AB46" s="53" t="s">
        <v>0</v>
      </c>
      <c r="AY46" s="18"/>
      <c r="AZ46" s="18"/>
      <c r="BA46" s="18"/>
      <c r="BB46" s="18"/>
      <c r="BC46" s="18"/>
      <c r="BD46" s="18"/>
      <c r="BE46" s="18"/>
    </row>
    <row r="47" spans="2:57" x14ac:dyDescent="0.25">
      <c r="B47" s="709"/>
      <c r="C47" s="708"/>
      <c r="D47" s="706"/>
      <c r="E47" s="107" t="str">
        <f>IF(C47="","",VALUE(MID(D47,1,2)))</f>
        <v/>
      </c>
      <c r="F47" s="110" t="str">
        <f t="shared" si="4"/>
        <v/>
      </c>
      <c r="G47" s="714"/>
      <c r="H47" s="714"/>
      <c r="I47" s="714"/>
      <c r="J47" s="711"/>
      <c r="K47" s="712"/>
      <c r="L47" s="712"/>
      <c r="M47" s="713"/>
      <c r="N47" s="84" t="str">
        <f t="shared" si="6"/>
        <v/>
      </c>
      <c r="O47" s="711"/>
      <c r="P47" s="108" t="str">
        <f t="shared" si="7"/>
        <v>-</v>
      </c>
      <c r="Q47" s="85" t="str">
        <f t="shared" si="8"/>
        <v/>
      </c>
      <c r="R47" s="85" t="str">
        <f>IF(B47="","",IF(COUNTIF(B48:$B$48,B47)=0,SUMIF($B$18:$B$48,B47,$Q$18:$Q$48),""))</f>
        <v/>
      </c>
      <c r="S47" s="84" t="str">
        <f t="shared" si="9"/>
        <v/>
      </c>
      <c r="T47" s="62"/>
      <c r="U47" s="717"/>
      <c r="V47" s="107" t="str">
        <f t="shared" si="10"/>
        <v/>
      </c>
      <c r="W47" s="706"/>
      <c r="X47" s="719"/>
      <c r="Y47" s="194" t="str">
        <f t="shared" si="11"/>
        <v/>
      </c>
      <c r="Z47" s="195" t="str">
        <f t="shared" si="12"/>
        <v/>
      </c>
      <c r="AB47" s="53" t="s">
        <v>0</v>
      </c>
      <c r="AY47" s="18"/>
      <c r="AZ47" s="18"/>
      <c r="BA47" s="18"/>
      <c r="BB47" s="18"/>
      <c r="BC47" s="18"/>
      <c r="BD47" s="18"/>
      <c r="BE47" s="18"/>
    </row>
    <row r="48" spans="2:57" x14ac:dyDescent="0.25">
      <c r="B48" s="28"/>
      <c r="C48" s="29"/>
      <c r="D48" s="29"/>
      <c r="E48" s="716" t="str">
        <f>IF(C48="","",VALUE(MID(D48,1,2)))</f>
        <v/>
      </c>
      <c r="F48" s="716" t="str">
        <f t="shared" si="4"/>
        <v/>
      </c>
      <c r="G48" s="29"/>
      <c r="H48" s="29"/>
      <c r="I48" s="29"/>
      <c r="J48" s="29"/>
      <c r="K48" s="29"/>
      <c r="L48" s="29"/>
      <c r="M48" s="29"/>
      <c r="N48" s="716" t="str">
        <f t="shared" si="6"/>
        <v/>
      </c>
      <c r="O48" s="29"/>
      <c r="P48" s="29" t="str">
        <f t="shared" si="7"/>
        <v>-</v>
      </c>
      <c r="Q48" s="29" t="str">
        <f t="shared" ref="Q48" si="13">IF(C48="","",IF(E48=9,MAX(G48-F48*H48,0),IF(E48=8,F48*(G48+I48),IF(E48=10,F48*G48,MAX(F48*(G48+I48-P48*N48),0)))))</f>
        <v/>
      </c>
      <c r="R48" s="29" t="str">
        <f>IF(B48="","",IF(COUNTIF(B$48:$B49,B48)=0,SUMIF($B$18:$B$48,B48,$Q$18:$Q$48),""))</f>
        <v/>
      </c>
      <c r="S48" s="29" t="str">
        <f t="shared" si="9"/>
        <v/>
      </c>
      <c r="T48" s="29"/>
      <c r="U48" s="29"/>
      <c r="V48" s="29"/>
      <c r="W48" s="29"/>
      <c r="X48" s="29"/>
      <c r="Y48" s="29"/>
      <c r="Z48" s="30"/>
      <c r="AB48" s="53" t="s">
        <v>0</v>
      </c>
      <c r="AY48" s="18"/>
      <c r="AZ48" s="18"/>
      <c r="BA48" s="18"/>
      <c r="BB48" s="18"/>
      <c r="BC48" s="18"/>
      <c r="BD48" s="18"/>
      <c r="BE48" s="18"/>
    </row>
    <row r="49" spans="2:57" x14ac:dyDescent="0.25">
      <c r="AB49" s="53" t="s">
        <v>0</v>
      </c>
      <c r="AY49" s="18"/>
      <c r="AZ49" s="18"/>
      <c r="BA49" s="18"/>
      <c r="BB49" s="18"/>
      <c r="BC49" s="18"/>
      <c r="BD49" s="18"/>
      <c r="BE49" s="18"/>
    </row>
    <row r="50" spans="2:57" x14ac:dyDescent="0.25">
      <c r="AB50" s="53" t="s">
        <v>0</v>
      </c>
      <c r="AY50" s="18"/>
      <c r="AZ50" s="18"/>
      <c r="BA50" s="18"/>
      <c r="BB50" s="18"/>
      <c r="BC50" s="18"/>
      <c r="BD50" s="18"/>
      <c r="BE50" s="18"/>
    </row>
    <row r="51" spans="2:57" x14ac:dyDescent="0.25">
      <c r="AB51" s="53" t="s">
        <v>0</v>
      </c>
    </row>
    <row r="52" spans="2:57" x14ac:dyDescent="0.25">
      <c r="B52" s="820" t="s">
        <v>215</v>
      </c>
      <c r="C52" s="821"/>
      <c r="D52" s="821"/>
      <c r="E52" s="822"/>
      <c r="F52" s="720">
        <f t="array" ref="F52">MMULT(TRANSPOSE(D63:D82),MMULT(F63:Y82,D63:D82))</f>
        <v>0</v>
      </c>
      <c r="G52" s="95"/>
      <c r="H52" s="95"/>
      <c r="Q52" s="95"/>
      <c r="R52" s="95"/>
      <c r="S52" s="95"/>
      <c r="T52" s="95"/>
      <c r="U52" s="95"/>
      <c r="V52" s="95"/>
      <c r="W52" s="95"/>
      <c r="X52" s="95"/>
      <c r="Y52" s="95"/>
      <c r="Z52" s="95"/>
      <c r="AB52" s="53" t="s">
        <v>0</v>
      </c>
    </row>
    <row r="53" spans="2:57" x14ac:dyDescent="0.25">
      <c r="B53" s="820" t="s">
        <v>191</v>
      </c>
      <c r="C53" s="821"/>
      <c r="D53" s="821"/>
      <c r="E53" s="822"/>
      <c r="F53" s="720">
        <f>SUMPRODUCT(E63:E82*Z63:Z82)</f>
        <v>0</v>
      </c>
      <c r="G53" s="95"/>
      <c r="H53" s="95"/>
      <c r="Q53" s="95"/>
      <c r="R53" s="95"/>
      <c r="S53" s="95"/>
      <c r="T53" s="95"/>
      <c r="U53" s="95"/>
      <c r="V53" s="95"/>
      <c r="W53" s="95"/>
      <c r="X53" s="95"/>
      <c r="Y53" s="95"/>
      <c r="Z53" s="95"/>
      <c r="AB53" s="53" t="s">
        <v>0</v>
      </c>
    </row>
    <row r="54" spans="2:57" x14ac:dyDescent="0.25">
      <c r="B54" s="820" t="s">
        <v>192</v>
      </c>
      <c r="C54" s="821"/>
      <c r="D54" s="821"/>
      <c r="E54" s="822"/>
      <c r="F54" s="720">
        <f>F52+F53</f>
        <v>0</v>
      </c>
      <c r="G54" s="96"/>
      <c r="H54" s="97"/>
      <c r="Q54" s="95"/>
      <c r="R54" s="95"/>
      <c r="S54" s="95"/>
      <c r="T54" s="95"/>
      <c r="U54" s="95"/>
      <c r="V54" s="95"/>
      <c r="W54" s="95"/>
      <c r="X54" s="95"/>
      <c r="Y54" s="95"/>
      <c r="Z54" s="95"/>
      <c r="AB54" s="53" t="s">
        <v>0</v>
      </c>
    </row>
    <row r="55" spans="2:57" x14ac:dyDescent="0.25">
      <c r="B55" s="823" t="s">
        <v>193</v>
      </c>
      <c r="C55" s="824"/>
      <c r="D55" s="824"/>
      <c r="E55" s="825"/>
      <c r="F55" s="720">
        <f>F54^0.5</f>
        <v>0</v>
      </c>
      <c r="G55" s="96"/>
      <c r="H55" s="97"/>
      <c r="Q55" s="95"/>
      <c r="R55" s="95"/>
      <c r="S55" s="95"/>
      <c r="T55" s="95"/>
      <c r="U55" s="95"/>
      <c r="V55" s="95"/>
      <c r="W55" s="95"/>
      <c r="X55" s="95"/>
      <c r="Y55" s="95"/>
      <c r="Z55" s="309"/>
      <c r="AB55" s="53" t="s">
        <v>0</v>
      </c>
    </row>
    <row r="56" spans="2:57" x14ac:dyDescent="0.25">
      <c r="B56" s="823" t="s">
        <v>194</v>
      </c>
      <c r="C56" s="824"/>
      <c r="D56" s="824"/>
      <c r="E56" s="825"/>
      <c r="F56" s="720">
        <f>IF(AND(F55&gt;7%*D83,F55&lt;=20%*D83),5,IF(F55&lt;=7%*D83,3,0))</f>
        <v>3</v>
      </c>
      <c r="G56" s="96"/>
      <c r="H56" s="126" t="s">
        <v>196</v>
      </c>
      <c r="I56" s="129">
        <v>0.25</v>
      </c>
      <c r="Q56" s="95"/>
      <c r="R56" s="95"/>
      <c r="S56" s="95"/>
      <c r="T56" s="95"/>
      <c r="U56" s="95"/>
      <c r="V56" s="95"/>
      <c r="W56" s="95"/>
      <c r="X56" s="95"/>
      <c r="Y56" s="95"/>
      <c r="Z56" s="309"/>
      <c r="AB56" s="53" t="s">
        <v>0</v>
      </c>
    </row>
    <row r="57" spans="2:57" x14ac:dyDescent="0.25">
      <c r="B57" s="817" t="s">
        <v>216</v>
      </c>
      <c r="C57" s="818"/>
      <c r="D57" s="818"/>
      <c r="E57" s="819"/>
      <c r="F57" s="721">
        <f>IF(F56=0,D83,F56*F55)</f>
        <v>0</v>
      </c>
      <c r="G57" s="95"/>
      <c r="H57" s="127" t="s">
        <v>195</v>
      </c>
      <c r="I57" s="311" t="str">
        <f>IF(D83=0,"",F57/D83)</f>
        <v/>
      </c>
      <c r="Q57" s="95"/>
      <c r="R57" s="95"/>
      <c r="S57" s="95"/>
      <c r="T57" s="95"/>
      <c r="U57" s="95"/>
      <c r="V57" s="95"/>
      <c r="W57" s="95"/>
      <c r="X57" s="95"/>
      <c r="Y57" s="95"/>
      <c r="Z57" s="309"/>
      <c r="AB57" s="53" t="s">
        <v>0</v>
      </c>
    </row>
    <row r="58" spans="2:57" x14ac:dyDescent="0.25">
      <c r="B58" s="95"/>
      <c r="C58" s="98"/>
      <c r="D58" s="95"/>
      <c r="E58" s="95"/>
      <c r="F58" s="95"/>
      <c r="G58" s="95"/>
      <c r="H58" s="95"/>
      <c r="I58" s="95"/>
      <c r="J58" s="95"/>
      <c r="K58" s="95"/>
      <c r="L58" s="95"/>
      <c r="M58" s="95"/>
      <c r="N58" s="95"/>
      <c r="O58" s="95"/>
      <c r="P58" s="95"/>
      <c r="Q58" s="95"/>
      <c r="R58" s="95"/>
      <c r="S58" s="95"/>
      <c r="T58" s="95"/>
      <c r="U58" s="95"/>
      <c r="V58" s="95"/>
      <c r="W58" s="95"/>
      <c r="X58" s="95"/>
      <c r="Y58" s="95"/>
      <c r="Z58" s="95"/>
      <c r="AB58" s="53" t="s">
        <v>0</v>
      </c>
    </row>
    <row r="59" spans="2:57" x14ac:dyDescent="0.25">
      <c r="B59" s="95"/>
      <c r="C59" s="98"/>
      <c r="D59" s="116" t="s">
        <v>197</v>
      </c>
      <c r="E59" s="116" t="s">
        <v>197</v>
      </c>
      <c r="F59" s="805" t="s">
        <v>201</v>
      </c>
      <c r="G59" s="806"/>
      <c r="H59" s="806"/>
      <c r="I59" s="806"/>
      <c r="J59" s="806"/>
      <c r="K59" s="806"/>
      <c r="L59" s="806"/>
      <c r="M59" s="806"/>
      <c r="N59" s="806"/>
      <c r="O59" s="806"/>
      <c r="P59" s="806"/>
      <c r="Q59" s="806"/>
      <c r="R59" s="806"/>
      <c r="S59" s="806"/>
      <c r="T59" s="806"/>
      <c r="U59" s="806"/>
      <c r="V59" s="806"/>
      <c r="W59" s="806"/>
      <c r="X59" s="806"/>
      <c r="Y59" s="807"/>
      <c r="Z59" s="289" t="s">
        <v>198</v>
      </c>
      <c r="AB59" s="53" t="s">
        <v>0</v>
      </c>
    </row>
    <row r="60" spans="2:57" x14ac:dyDescent="0.25">
      <c r="B60" s="95"/>
      <c r="C60" s="98"/>
      <c r="D60" s="117" t="s">
        <v>199</v>
      </c>
      <c r="E60" s="117" t="s">
        <v>200</v>
      </c>
      <c r="F60" s="808"/>
      <c r="G60" s="809"/>
      <c r="H60" s="809"/>
      <c r="I60" s="809"/>
      <c r="J60" s="809"/>
      <c r="K60" s="809"/>
      <c r="L60" s="809"/>
      <c r="M60" s="809"/>
      <c r="N60" s="809"/>
      <c r="O60" s="809"/>
      <c r="P60" s="809"/>
      <c r="Q60" s="809"/>
      <c r="R60" s="809"/>
      <c r="S60" s="809"/>
      <c r="T60" s="809"/>
      <c r="U60" s="809"/>
      <c r="V60" s="809"/>
      <c r="W60" s="809"/>
      <c r="X60" s="809"/>
      <c r="Y60" s="810"/>
      <c r="Z60" s="310" t="s">
        <v>200</v>
      </c>
      <c r="AB60" s="53" t="s">
        <v>0</v>
      </c>
    </row>
    <row r="61" spans="2:57" x14ac:dyDescent="0.25">
      <c r="B61" s="782"/>
      <c r="C61" s="780"/>
      <c r="D61" s="790" t="s">
        <v>203</v>
      </c>
      <c r="E61" s="790" t="s">
        <v>204</v>
      </c>
      <c r="F61" s="814" t="s">
        <v>202</v>
      </c>
      <c r="G61" s="815"/>
      <c r="H61" s="815"/>
      <c r="I61" s="815"/>
      <c r="J61" s="815"/>
      <c r="K61" s="815"/>
      <c r="L61" s="815"/>
      <c r="M61" s="815"/>
      <c r="N61" s="815"/>
      <c r="O61" s="815"/>
      <c r="P61" s="815"/>
      <c r="Q61" s="815"/>
      <c r="R61" s="815"/>
      <c r="S61" s="815"/>
      <c r="T61" s="815"/>
      <c r="U61" s="815"/>
      <c r="V61" s="815"/>
      <c r="W61" s="815"/>
      <c r="X61" s="815"/>
      <c r="Y61" s="816"/>
      <c r="Z61" s="797" t="s">
        <v>205</v>
      </c>
      <c r="AB61" s="53" t="s">
        <v>0</v>
      </c>
    </row>
    <row r="62" spans="2:57" x14ac:dyDescent="0.25">
      <c r="B62" s="783"/>
      <c r="C62" s="781"/>
      <c r="D62" s="791"/>
      <c r="E62" s="791"/>
      <c r="F62" s="124" t="str">
        <f>C63</f>
        <v/>
      </c>
      <c r="G62" s="124" t="str">
        <f>C64</f>
        <v/>
      </c>
      <c r="H62" s="124" t="str">
        <f>C65</f>
        <v/>
      </c>
      <c r="I62" s="124" t="str">
        <f>C66</f>
        <v/>
      </c>
      <c r="J62" s="124" t="str">
        <f>C67</f>
        <v/>
      </c>
      <c r="K62" s="124" t="str">
        <f>C68</f>
        <v/>
      </c>
      <c r="L62" s="124" t="str">
        <f>C69</f>
        <v/>
      </c>
      <c r="M62" s="124" t="str">
        <f>C70</f>
        <v/>
      </c>
      <c r="N62" s="124" t="str">
        <f>C71</f>
        <v/>
      </c>
      <c r="O62" s="124" t="str">
        <f>C72</f>
        <v/>
      </c>
      <c r="P62" s="124" t="str">
        <f>C73</f>
        <v/>
      </c>
      <c r="Q62" s="124" t="str">
        <f>C74</f>
        <v/>
      </c>
      <c r="R62" s="124" t="str">
        <f>C75</f>
        <v/>
      </c>
      <c r="S62" s="124" t="str">
        <f>C76</f>
        <v/>
      </c>
      <c r="T62" s="124" t="str">
        <f>C77</f>
        <v/>
      </c>
      <c r="U62" s="124" t="str">
        <f>C78</f>
        <v/>
      </c>
      <c r="V62" s="124" t="str">
        <f>C79</f>
        <v/>
      </c>
      <c r="W62" s="124" t="str">
        <f>C80</f>
        <v/>
      </c>
      <c r="X62" s="124" t="str">
        <f>C81</f>
        <v/>
      </c>
      <c r="Y62" s="124" t="str">
        <f>C82</f>
        <v/>
      </c>
      <c r="Z62" s="798"/>
      <c r="AB62" s="53" t="s">
        <v>0</v>
      </c>
    </row>
    <row r="63" spans="2:57" x14ac:dyDescent="0.25">
      <c r="B63" s="128">
        <v>1</v>
      </c>
      <c r="C63" s="120" t="str">
        <f t="shared" ref="C63:C82" si="14">BD15</f>
        <v/>
      </c>
      <c r="D63" s="722">
        <f>SUMIF($Z$18:$Z$47,$C63,$R$18:$R$47)</f>
        <v>0</v>
      </c>
      <c r="E63" s="722">
        <f>SUMIF($Z$18:$Z$47,$C63,$S$18:$S$47)</f>
        <v>0</v>
      </c>
      <c r="F63" s="726">
        <f>IF(OR($C63="",F$62=""),0,($C63*(1-$C63)*F$62*(1-F$62))/((1+$I$56)*($C63+F$62)-$C63*F$62))</f>
        <v>0</v>
      </c>
      <c r="G63" s="726">
        <f t="shared" ref="G63:Y76" si="15">IF(OR($C63="",G$62=""),0,($C63*(1-$C63)*G$62*(1-G$62))/((1+$I$56)*($C63+G$62)-$C63*G$62))</f>
        <v>0</v>
      </c>
      <c r="H63" s="726">
        <f t="shared" si="15"/>
        <v>0</v>
      </c>
      <c r="I63" s="726">
        <f t="shared" si="15"/>
        <v>0</v>
      </c>
      <c r="J63" s="726">
        <f t="shared" si="15"/>
        <v>0</v>
      </c>
      <c r="K63" s="726">
        <f t="shared" si="15"/>
        <v>0</v>
      </c>
      <c r="L63" s="726">
        <f t="shared" si="15"/>
        <v>0</v>
      </c>
      <c r="M63" s="726">
        <f t="shared" si="15"/>
        <v>0</v>
      </c>
      <c r="N63" s="726">
        <f t="shared" si="15"/>
        <v>0</v>
      </c>
      <c r="O63" s="726">
        <f t="shared" si="15"/>
        <v>0</v>
      </c>
      <c r="P63" s="726">
        <f t="shared" si="15"/>
        <v>0</v>
      </c>
      <c r="Q63" s="726">
        <f t="shared" si="15"/>
        <v>0</v>
      </c>
      <c r="R63" s="726">
        <f t="shared" si="15"/>
        <v>0</v>
      </c>
      <c r="S63" s="726">
        <f t="shared" si="15"/>
        <v>0</v>
      </c>
      <c r="T63" s="726">
        <f t="shared" si="15"/>
        <v>0</v>
      </c>
      <c r="U63" s="726">
        <f t="shared" si="15"/>
        <v>0</v>
      </c>
      <c r="V63" s="726">
        <f t="shared" si="15"/>
        <v>0</v>
      </c>
      <c r="W63" s="726">
        <f t="shared" si="15"/>
        <v>0</v>
      </c>
      <c r="X63" s="726">
        <f t="shared" si="15"/>
        <v>0</v>
      </c>
      <c r="Y63" s="726">
        <f t="shared" si="15"/>
        <v>0</v>
      </c>
      <c r="Z63" s="726">
        <f>IF(C63="",0,((1+2*$I$56)*C63*(1-C63))/(2+2*$I$56-C63))</f>
        <v>0</v>
      </c>
      <c r="AB63" s="53" t="s">
        <v>0</v>
      </c>
    </row>
    <row r="64" spans="2:57" x14ac:dyDescent="0.25">
      <c r="B64" s="123">
        <f>B63+1</f>
        <v>2</v>
      </c>
      <c r="C64" s="121" t="str">
        <f t="shared" si="14"/>
        <v/>
      </c>
      <c r="D64" s="723">
        <f t="shared" ref="D64:D82" si="16">SUMIF($Z$18:$Z$47,$C64,$R$18:$R$47)</f>
        <v>0</v>
      </c>
      <c r="E64" s="723">
        <f t="shared" ref="E64:E82" si="17">SUMIF($Z$18:$Z$47,$C64,$S$18:$S$47)</f>
        <v>0</v>
      </c>
      <c r="F64" s="727">
        <f t="shared" ref="F64:F82" si="18">IF(OR($C64="",F$62=""),0,($C64*(1-$C64)*F$62*(1-F$62))/((1+$I$56)*($C64+F$62)-$C64*F$62))</f>
        <v>0</v>
      </c>
      <c r="G64" s="727">
        <f t="shared" si="15"/>
        <v>0</v>
      </c>
      <c r="H64" s="727">
        <f t="shared" si="15"/>
        <v>0</v>
      </c>
      <c r="I64" s="727">
        <f t="shared" si="15"/>
        <v>0</v>
      </c>
      <c r="J64" s="727">
        <f t="shared" si="15"/>
        <v>0</v>
      </c>
      <c r="K64" s="727">
        <f t="shared" si="15"/>
        <v>0</v>
      </c>
      <c r="L64" s="727">
        <f t="shared" si="15"/>
        <v>0</v>
      </c>
      <c r="M64" s="727">
        <f t="shared" si="15"/>
        <v>0</v>
      </c>
      <c r="N64" s="727">
        <f t="shared" si="15"/>
        <v>0</v>
      </c>
      <c r="O64" s="727">
        <f t="shared" si="15"/>
        <v>0</v>
      </c>
      <c r="P64" s="727">
        <f t="shared" si="15"/>
        <v>0</v>
      </c>
      <c r="Q64" s="727">
        <f t="shared" si="15"/>
        <v>0</v>
      </c>
      <c r="R64" s="727">
        <f t="shared" si="15"/>
        <v>0</v>
      </c>
      <c r="S64" s="727">
        <f t="shared" si="15"/>
        <v>0</v>
      </c>
      <c r="T64" s="727">
        <f t="shared" si="15"/>
        <v>0</v>
      </c>
      <c r="U64" s="727">
        <f t="shared" si="15"/>
        <v>0</v>
      </c>
      <c r="V64" s="727">
        <f t="shared" si="15"/>
        <v>0</v>
      </c>
      <c r="W64" s="727">
        <f t="shared" si="15"/>
        <v>0</v>
      </c>
      <c r="X64" s="727">
        <f t="shared" si="15"/>
        <v>0</v>
      </c>
      <c r="Y64" s="727">
        <f t="shared" si="15"/>
        <v>0</v>
      </c>
      <c r="Z64" s="727">
        <f t="shared" ref="Z64:Z82" si="19">IF(C64="",0,((1+2*$I$56)*C64*(1-C64))/(2+2*$I$56-C64))</f>
        <v>0</v>
      </c>
      <c r="AB64" s="53" t="s">
        <v>0</v>
      </c>
    </row>
    <row r="65" spans="2:28" x14ac:dyDescent="0.25">
      <c r="B65" s="123">
        <f t="shared" ref="B65:B82" si="20">B64+1</f>
        <v>3</v>
      </c>
      <c r="C65" s="121" t="str">
        <f t="shared" si="14"/>
        <v/>
      </c>
      <c r="D65" s="723">
        <f t="shared" si="16"/>
        <v>0</v>
      </c>
      <c r="E65" s="723">
        <f t="shared" si="17"/>
        <v>0</v>
      </c>
      <c r="F65" s="727">
        <f t="shared" si="18"/>
        <v>0</v>
      </c>
      <c r="G65" s="727">
        <f t="shared" si="15"/>
        <v>0</v>
      </c>
      <c r="H65" s="727">
        <f t="shared" si="15"/>
        <v>0</v>
      </c>
      <c r="I65" s="727">
        <f t="shared" si="15"/>
        <v>0</v>
      </c>
      <c r="J65" s="727">
        <f t="shared" si="15"/>
        <v>0</v>
      </c>
      <c r="K65" s="727">
        <f t="shared" si="15"/>
        <v>0</v>
      </c>
      <c r="L65" s="727">
        <f t="shared" si="15"/>
        <v>0</v>
      </c>
      <c r="M65" s="727">
        <f t="shared" si="15"/>
        <v>0</v>
      </c>
      <c r="N65" s="727">
        <f t="shared" si="15"/>
        <v>0</v>
      </c>
      <c r="O65" s="727">
        <f t="shared" si="15"/>
        <v>0</v>
      </c>
      <c r="P65" s="727">
        <f t="shared" si="15"/>
        <v>0</v>
      </c>
      <c r="Q65" s="727">
        <f t="shared" si="15"/>
        <v>0</v>
      </c>
      <c r="R65" s="727">
        <f t="shared" si="15"/>
        <v>0</v>
      </c>
      <c r="S65" s="727">
        <f t="shared" si="15"/>
        <v>0</v>
      </c>
      <c r="T65" s="727">
        <f t="shared" si="15"/>
        <v>0</v>
      </c>
      <c r="U65" s="727">
        <f t="shared" si="15"/>
        <v>0</v>
      </c>
      <c r="V65" s="727">
        <f t="shared" si="15"/>
        <v>0</v>
      </c>
      <c r="W65" s="727">
        <f t="shared" si="15"/>
        <v>0</v>
      </c>
      <c r="X65" s="727">
        <f t="shared" si="15"/>
        <v>0</v>
      </c>
      <c r="Y65" s="727">
        <f t="shared" si="15"/>
        <v>0</v>
      </c>
      <c r="Z65" s="727">
        <f t="shared" si="19"/>
        <v>0</v>
      </c>
      <c r="AB65" s="53" t="s">
        <v>0</v>
      </c>
    </row>
    <row r="66" spans="2:28" x14ac:dyDescent="0.25">
      <c r="B66" s="123">
        <f t="shared" si="20"/>
        <v>4</v>
      </c>
      <c r="C66" s="121" t="str">
        <f t="shared" si="14"/>
        <v/>
      </c>
      <c r="D66" s="723">
        <f t="shared" si="16"/>
        <v>0</v>
      </c>
      <c r="E66" s="723">
        <f t="shared" si="17"/>
        <v>0</v>
      </c>
      <c r="F66" s="727">
        <f t="shared" si="18"/>
        <v>0</v>
      </c>
      <c r="G66" s="727">
        <f t="shared" si="15"/>
        <v>0</v>
      </c>
      <c r="H66" s="727">
        <f t="shared" si="15"/>
        <v>0</v>
      </c>
      <c r="I66" s="727">
        <f t="shared" si="15"/>
        <v>0</v>
      </c>
      <c r="J66" s="727">
        <f t="shared" si="15"/>
        <v>0</v>
      </c>
      <c r="K66" s="727">
        <f t="shared" si="15"/>
        <v>0</v>
      </c>
      <c r="L66" s="727">
        <f t="shared" si="15"/>
        <v>0</v>
      </c>
      <c r="M66" s="727">
        <f t="shared" si="15"/>
        <v>0</v>
      </c>
      <c r="N66" s="727">
        <f t="shared" si="15"/>
        <v>0</v>
      </c>
      <c r="O66" s="727">
        <f t="shared" si="15"/>
        <v>0</v>
      </c>
      <c r="P66" s="727">
        <f t="shared" si="15"/>
        <v>0</v>
      </c>
      <c r="Q66" s="727">
        <f t="shared" si="15"/>
        <v>0</v>
      </c>
      <c r="R66" s="727">
        <f t="shared" si="15"/>
        <v>0</v>
      </c>
      <c r="S66" s="727">
        <f t="shared" si="15"/>
        <v>0</v>
      </c>
      <c r="T66" s="727">
        <f t="shared" si="15"/>
        <v>0</v>
      </c>
      <c r="U66" s="727">
        <f t="shared" si="15"/>
        <v>0</v>
      </c>
      <c r="V66" s="727">
        <f t="shared" si="15"/>
        <v>0</v>
      </c>
      <c r="W66" s="727">
        <f t="shared" si="15"/>
        <v>0</v>
      </c>
      <c r="X66" s="727">
        <f t="shared" si="15"/>
        <v>0</v>
      </c>
      <c r="Y66" s="727">
        <f t="shared" si="15"/>
        <v>0</v>
      </c>
      <c r="Z66" s="727">
        <f t="shared" si="19"/>
        <v>0</v>
      </c>
      <c r="AB66" s="53" t="s">
        <v>0</v>
      </c>
    </row>
    <row r="67" spans="2:28" x14ac:dyDescent="0.25">
      <c r="B67" s="123">
        <f t="shared" si="20"/>
        <v>5</v>
      </c>
      <c r="C67" s="121" t="str">
        <f t="shared" si="14"/>
        <v/>
      </c>
      <c r="D67" s="723">
        <f t="shared" si="16"/>
        <v>0</v>
      </c>
      <c r="E67" s="723">
        <f t="shared" si="17"/>
        <v>0</v>
      </c>
      <c r="F67" s="727">
        <f t="shared" si="18"/>
        <v>0</v>
      </c>
      <c r="G67" s="727">
        <f t="shared" si="15"/>
        <v>0</v>
      </c>
      <c r="H67" s="727">
        <f t="shared" si="15"/>
        <v>0</v>
      </c>
      <c r="I67" s="727">
        <f t="shared" si="15"/>
        <v>0</v>
      </c>
      <c r="J67" s="727">
        <f t="shared" si="15"/>
        <v>0</v>
      </c>
      <c r="K67" s="727">
        <f t="shared" si="15"/>
        <v>0</v>
      </c>
      <c r="L67" s="727">
        <f t="shared" si="15"/>
        <v>0</v>
      </c>
      <c r="M67" s="727">
        <f t="shared" si="15"/>
        <v>0</v>
      </c>
      <c r="N67" s="727">
        <f t="shared" si="15"/>
        <v>0</v>
      </c>
      <c r="O67" s="727">
        <f t="shared" si="15"/>
        <v>0</v>
      </c>
      <c r="P67" s="727">
        <f t="shared" si="15"/>
        <v>0</v>
      </c>
      <c r="Q67" s="727">
        <f t="shared" si="15"/>
        <v>0</v>
      </c>
      <c r="R67" s="727">
        <f t="shared" si="15"/>
        <v>0</v>
      </c>
      <c r="S67" s="727">
        <f t="shared" si="15"/>
        <v>0</v>
      </c>
      <c r="T67" s="727">
        <f t="shared" si="15"/>
        <v>0</v>
      </c>
      <c r="U67" s="727">
        <f t="shared" si="15"/>
        <v>0</v>
      </c>
      <c r="V67" s="727">
        <f t="shared" si="15"/>
        <v>0</v>
      </c>
      <c r="W67" s="727">
        <f t="shared" si="15"/>
        <v>0</v>
      </c>
      <c r="X67" s="727">
        <f t="shared" si="15"/>
        <v>0</v>
      </c>
      <c r="Y67" s="727">
        <f t="shared" si="15"/>
        <v>0</v>
      </c>
      <c r="Z67" s="727">
        <f t="shared" si="19"/>
        <v>0</v>
      </c>
      <c r="AB67" s="53" t="s">
        <v>0</v>
      </c>
    </row>
    <row r="68" spans="2:28" x14ac:dyDescent="0.25">
      <c r="B68" s="123">
        <f t="shared" si="20"/>
        <v>6</v>
      </c>
      <c r="C68" s="121" t="str">
        <f t="shared" si="14"/>
        <v/>
      </c>
      <c r="D68" s="723">
        <f t="shared" si="16"/>
        <v>0</v>
      </c>
      <c r="E68" s="723">
        <f t="shared" si="17"/>
        <v>0</v>
      </c>
      <c r="F68" s="727">
        <f t="shared" si="18"/>
        <v>0</v>
      </c>
      <c r="G68" s="727">
        <f t="shared" si="15"/>
        <v>0</v>
      </c>
      <c r="H68" s="727">
        <f t="shared" si="15"/>
        <v>0</v>
      </c>
      <c r="I68" s="727">
        <f t="shared" si="15"/>
        <v>0</v>
      </c>
      <c r="J68" s="727">
        <f t="shared" si="15"/>
        <v>0</v>
      </c>
      <c r="K68" s="727">
        <f t="shared" si="15"/>
        <v>0</v>
      </c>
      <c r="L68" s="727">
        <f t="shared" si="15"/>
        <v>0</v>
      </c>
      <c r="M68" s="727">
        <f t="shared" si="15"/>
        <v>0</v>
      </c>
      <c r="N68" s="727">
        <f t="shared" si="15"/>
        <v>0</v>
      </c>
      <c r="O68" s="727">
        <f t="shared" si="15"/>
        <v>0</v>
      </c>
      <c r="P68" s="727">
        <f t="shared" si="15"/>
        <v>0</v>
      </c>
      <c r="Q68" s="727">
        <f t="shared" si="15"/>
        <v>0</v>
      </c>
      <c r="R68" s="727">
        <f t="shared" si="15"/>
        <v>0</v>
      </c>
      <c r="S68" s="727">
        <f t="shared" si="15"/>
        <v>0</v>
      </c>
      <c r="T68" s="727">
        <f t="shared" si="15"/>
        <v>0</v>
      </c>
      <c r="U68" s="727">
        <f t="shared" si="15"/>
        <v>0</v>
      </c>
      <c r="V68" s="727">
        <f t="shared" si="15"/>
        <v>0</v>
      </c>
      <c r="W68" s="727">
        <f t="shared" si="15"/>
        <v>0</v>
      </c>
      <c r="X68" s="727">
        <f t="shared" si="15"/>
        <v>0</v>
      </c>
      <c r="Y68" s="727">
        <f t="shared" si="15"/>
        <v>0</v>
      </c>
      <c r="Z68" s="727">
        <f t="shared" si="19"/>
        <v>0</v>
      </c>
      <c r="AB68" s="53" t="s">
        <v>0</v>
      </c>
    </row>
    <row r="69" spans="2:28" x14ac:dyDescent="0.25">
      <c r="B69" s="123">
        <f t="shared" si="20"/>
        <v>7</v>
      </c>
      <c r="C69" s="121" t="str">
        <f t="shared" si="14"/>
        <v/>
      </c>
      <c r="D69" s="723">
        <f t="shared" si="16"/>
        <v>0</v>
      </c>
      <c r="E69" s="723">
        <f t="shared" si="17"/>
        <v>0</v>
      </c>
      <c r="F69" s="727">
        <f t="shared" si="18"/>
        <v>0</v>
      </c>
      <c r="G69" s="727">
        <f t="shared" si="15"/>
        <v>0</v>
      </c>
      <c r="H69" s="727">
        <f t="shared" si="15"/>
        <v>0</v>
      </c>
      <c r="I69" s="727">
        <f t="shared" si="15"/>
        <v>0</v>
      </c>
      <c r="J69" s="727">
        <f t="shared" si="15"/>
        <v>0</v>
      </c>
      <c r="K69" s="727">
        <f t="shared" si="15"/>
        <v>0</v>
      </c>
      <c r="L69" s="727">
        <f t="shared" si="15"/>
        <v>0</v>
      </c>
      <c r="M69" s="727">
        <f t="shared" si="15"/>
        <v>0</v>
      </c>
      <c r="N69" s="727">
        <f t="shared" si="15"/>
        <v>0</v>
      </c>
      <c r="O69" s="727">
        <f t="shared" si="15"/>
        <v>0</v>
      </c>
      <c r="P69" s="727">
        <f t="shared" si="15"/>
        <v>0</v>
      </c>
      <c r="Q69" s="727">
        <f t="shared" si="15"/>
        <v>0</v>
      </c>
      <c r="R69" s="727">
        <f t="shared" si="15"/>
        <v>0</v>
      </c>
      <c r="S69" s="727">
        <f t="shared" si="15"/>
        <v>0</v>
      </c>
      <c r="T69" s="727">
        <f t="shared" si="15"/>
        <v>0</v>
      </c>
      <c r="U69" s="727">
        <f t="shared" si="15"/>
        <v>0</v>
      </c>
      <c r="V69" s="727">
        <f t="shared" si="15"/>
        <v>0</v>
      </c>
      <c r="W69" s="727">
        <f t="shared" si="15"/>
        <v>0</v>
      </c>
      <c r="X69" s="727">
        <f t="shared" si="15"/>
        <v>0</v>
      </c>
      <c r="Y69" s="727">
        <f t="shared" si="15"/>
        <v>0</v>
      </c>
      <c r="Z69" s="727">
        <f t="shared" si="19"/>
        <v>0</v>
      </c>
      <c r="AB69" s="53" t="s">
        <v>0</v>
      </c>
    </row>
    <row r="70" spans="2:28" x14ac:dyDescent="0.25">
      <c r="B70" s="123">
        <f t="shared" si="20"/>
        <v>8</v>
      </c>
      <c r="C70" s="121" t="str">
        <f t="shared" si="14"/>
        <v/>
      </c>
      <c r="D70" s="723">
        <f t="shared" si="16"/>
        <v>0</v>
      </c>
      <c r="E70" s="723">
        <f t="shared" si="17"/>
        <v>0</v>
      </c>
      <c r="F70" s="727">
        <f t="shared" si="18"/>
        <v>0</v>
      </c>
      <c r="G70" s="727">
        <f t="shared" si="15"/>
        <v>0</v>
      </c>
      <c r="H70" s="727">
        <f t="shared" si="15"/>
        <v>0</v>
      </c>
      <c r="I70" s="727">
        <f t="shared" si="15"/>
        <v>0</v>
      </c>
      <c r="J70" s="727">
        <f t="shared" si="15"/>
        <v>0</v>
      </c>
      <c r="K70" s="727">
        <f t="shared" si="15"/>
        <v>0</v>
      </c>
      <c r="L70" s="727">
        <f t="shared" si="15"/>
        <v>0</v>
      </c>
      <c r="M70" s="727">
        <f t="shared" si="15"/>
        <v>0</v>
      </c>
      <c r="N70" s="727">
        <f t="shared" si="15"/>
        <v>0</v>
      </c>
      <c r="O70" s="727">
        <f t="shared" si="15"/>
        <v>0</v>
      </c>
      <c r="P70" s="727">
        <f t="shared" si="15"/>
        <v>0</v>
      </c>
      <c r="Q70" s="727">
        <f t="shared" si="15"/>
        <v>0</v>
      </c>
      <c r="R70" s="727">
        <f t="shared" si="15"/>
        <v>0</v>
      </c>
      <c r="S70" s="727">
        <f t="shared" si="15"/>
        <v>0</v>
      </c>
      <c r="T70" s="727">
        <f t="shared" si="15"/>
        <v>0</v>
      </c>
      <c r="U70" s="727">
        <f t="shared" si="15"/>
        <v>0</v>
      </c>
      <c r="V70" s="727">
        <f t="shared" si="15"/>
        <v>0</v>
      </c>
      <c r="W70" s="727">
        <f t="shared" si="15"/>
        <v>0</v>
      </c>
      <c r="X70" s="727">
        <f t="shared" si="15"/>
        <v>0</v>
      </c>
      <c r="Y70" s="727">
        <f t="shared" si="15"/>
        <v>0</v>
      </c>
      <c r="Z70" s="727">
        <f t="shared" si="19"/>
        <v>0</v>
      </c>
      <c r="AB70" s="53" t="s">
        <v>0</v>
      </c>
    </row>
    <row r="71" spans="2:28" x14ac:dyDescent="0.25">
      <c r="B71" s="123">
        <f t="shared" si="20"/>
        <v>9</v>
      </c>
      <c r="C71" s="121" t="str">
        <f t="shared" si="14"/>
        <v/>
      </c>
      <c r="D71" s="723">
        <f t="shared" si="16"/>
        <v>0</v>
      </c>
      <c r="E71" s="723">
        <f t="shared" si="17"/>
        <v>0</v>
      </c>
      <c r="F71" s="727">
        <f t="shared" si="18"/>
        <v>0</v>
      </c>
      <c r="G71" s="727">
        <f t="shared" si="15"/>
        <v>0</v>
      </c>
      <c r="H71" s="727">
        <f t="shared" si="15"/>
        <v>0</v>
      </c>
      <c r="I71" s="727">
        <f t="shared" si="15"/>
        <v>0</v>
      </c>
      <c r="J71" s="727">
        <f t="shared" si="15"/>
        <v>0</v>
      </c>
      <c r="K71" s="727">
        <f t="shared" si="15"/>
        <v>0</v>
      </c>
      <c r="L71" s="727">
        <f t="shared" si="15"/>
        <v>0</v>
      </c>
      <c r="M71" s="727">
        <f t="shared" si="15"/>
        <v>0</v>
      </c>
      <c r="N71" s="727">
        <f t="shared" si="15"/>
        <v>0</v>
      </c>
      <c r="O71" s="727">
        <f t="shared" si="15"/>
        <v>0</v>
      </c>
      <c r="P71" s="727">
        <f t="shared" si="15"/>
        <v>0</v>
      </c>
      <c r="Q71" s="727">
        <f t="shared" si="15"/>
        <v>0</v>
      </c>
      <c r="R71" s="727">
        <f t="shared" si="15"/>
        <v>0</v>
      </c>
      <c r="S71" s="727">
        <f t="shared" si="15"/>
        <v>0</v>
      </c>
      <c r="T71" s="727">
        <f t="shared" si="15"/>
        <v>0</v>
      </c>
      <c r="U71" s="727">
        <f t="shared" si="15"/>
        <v>0</v>
      </c>
      <c r="V71" s="727">
        <f t="shared" si="15"/>
        <v>0</v>
      </c>
      <c r="W71" s="727">
        <f t="shared" si="15"/>
        <v>0</v>
      </c>
      <c r="X71" s="727">
        <f t="shared" si="15"/>
        <v>0</v>
      </c>
      <c r="Y71" s="727">
        <f t="shared" si="15"/>
        <v>0</v>
      </c>
      <c r="Z71" s="727">
        <f t="shared" si="19"/>
        <v>0</v>
      </c>
      <c r="AB71" s="53" t="s">
        <v>0</v>
      </c>
    </row>
    <row r="72" spans="2:28" x14ac:dyDescent="0.25">
      <c r="B72" s="123">
        <f t="shared" si="20"/>
        <v>10</v>
      </c>
      <c r="C72" s="121" t="str">
        <f t="shared" si="14"/>
        <v/>
      </c>
      <c r="D72" s="723">
        <f t="shared" si="16"/>
        <v>0</v>
      </c>
      <c r="E72" s="723">
        <f t="shared" si="17"/>
        <v>0</v>
      </c>
      <c r="F72" s="727">
        <f t="shared" si="18"/>
        <v>0</v>
      </c>
      <c r="G72" s="727">
        <f t="shared" si="15"/>
        <v>0</v>
      </c>
      <c r="H72" s="727">
        <f t="shared" si="15"/>
        <v>0</v>
      </c>
      <c r="I72" s="727">
        <f t="shared" si="15"/>
        <v>0</v>
      </c>
      <c r="J72" s="727">
        <f t="shared" si="15"/>
        <v>0</v>
      </c>
      <c r="K72" s="727">
        <f t="shared" si="15"/>
        <v>0</v>
      </c>
      <c r="L72" s="727">
        <f t="shared" si="15"/>
        <v>0</v>
      </c>
      <c r="M72" s="727">
        <f t="shared" si="15"/>
        <v>0</v>
      </c>
      <c r="N72" s="727">
        <f t="shared" si="15"/>
        <v>0</v>
      </c>
      <c r="O72" s="727">
        <f t="shared" si="15"/>
        <v>0</v>
      </c>
      <c r="P72" s="727">
        <f t="shared" si="15"/>
        <v>0</v>
      </c>
      <c r="Q72" s="727">
        <f t="shared" si="15"/>
        <v>0</v>
      </c>
      <c r="R72" s="727">
        <f t="shared" si="15"/>
        <v>0</v>
      </c>
      <c r="S72" s="727">
        <f t="shared" si="15"/>
        <v>0</v>
      </c>
      <c r="T72" s="727">
        <f t="shared" si="15"/>
        <v>0</v>
      </c>
      <c r="U72" s="727">
        <f t="shared" si="15"/>
        <v>0</v>
      </c>
      <c r="V72" s="727">
        <f t="shared" si="15"/>
        <v>0</v>
      </c>
      <c r="W72" s="727">
        <f t="shared" si="15"/>
        <v>0</v>
      </c>
      <c r="X72" s="727">
        <f t="shared" si="15"/>
        <v>0</v>
      </c>
      <c r="Y72" s="727">
        <f t="shared" si="15"/>
        <v>0</v>
      </c>
      <c r="Z72" s="727">
        <f t="shared" si="19"/>
        <v>0</v>
      </c>
      <c r="AB72" s="53" t="s">
        <v>0</v>
      </c>
    </row>
    <row r="73" spans="2:28" x14ac:dyDescent="0.25">
      <c r="B73" s="123">
        <f t="shared" si="20"/>
        <v>11</v>
      </c>
      <c r="C73" s="121" t="str">
        <f t="shared" si="14"/>
        <v/>
      </c>
      <c r="D73" s="723">
        <f t="shared" si="16"/>
        <v>0</v>
      </c>
      <c r="E73" s="723">
        <f t="shared" si="17"/>
        <v>0</v>
      </c>
      <c r="F73" s="727">
        <f t="shared" si="18"/>
        <v>0</v>
      </c>
      <c r="G73" s="727">
        <f t="shared" si="15"/>
        <v>0</v>
      </c>
      <c r="H73" s="727">
        <f t="shared" si="15"/>
        <v>0</v>
      </c>
      <c r="I73" s="727">
        <f t="shared" si="15"/>
        <v>0</v>
      </c>
      <c r="J73" s="727">
        <f t="shared" si="15"/>
        <v>0</v>
      </c>
      <c r="K73" s="727">
        <f t="shared" si="15"/>
        <v>0</v>
      </c>
      <c r="L73" s="727">
        <f t="shared" si="15"/>
        <v>0</v>
      </c>
      <c r="M73" s="727">
        <f t="shared" si="15"/>
        <v>0</v>
      </c>
      <c r="N73" s="727">
        <f t="shared" si="15"/>
        <v>0</v>
      </c>
      <c r="O73" s="727">
        <f t="shared" si="15"/>
        <v>0</v>
      </c>
      <c r="P73" s="727">
        <f t="shared" si="15"/>
        <v>0</v>
      </c>
      <c r="Q73" s="727">
        <f t="shared" si="15"/>
        <v>0</v>
      </c>
      <c r="R73" s="727">
        <f t="shared" si="15"/>
        <v>0</v>
      </c>
      <c r="S73" s="727">
        <f t="shared" si="15"/>
        <v>0</v>
      </c>
      <c r="T73" s="727">
        <f t="shared" si="15"/>
        <v>0</v>
      </c>
      <c r="U73" s="727">
        <f t="shared" si="15"/>
        <v>0</v>
      </c>
      <c r="V73" s="727">
        <f t="shared" si="15"/>
        <v>0</v>
      </c>
      <c r="W73" s="727">
        <f t="shared" si="15"/>
        <v>0</v>
      </c>
      <c r="X73" s="727">
        <f t="shared" si="15"/>
        <v>0</v>
      </c>
      <c r="Y73" s="727">
        <f t="shared" si="15"/>
        <v>0</v>
      </c>
      <c r="Z73" s="727">
        <f t="shared" si="19"/>
        <v>0</v>
      </c>
      <c r="AB73" s="53" t="s">
        <v>0</v>
      </c>
    </row>
    <row r="74" spans="2:28" x14ac:dyDescent="0.25">
      <c r="B74" s="123">
        <f t="shared" si="20"/>
        <v>12</v>
      </c>
      <c r="C74" s="121" t="str">
        <f t="shared" si="14"/>
        <v/>
      </c>
      <c r="D74" s="723">
        <f t="shared" si="16"/>
        <v>0</v>
      </c>
      <c r="E74" s="723">
        <f t="shared" si="17"/>
        <v>0</v>
      </c>
      <c r="F74" s="727">
        <f t="shared" si="18"/>
        <v>0</v>
      </c>
      <c r="G74" s="727">
        <f t="shared" si="15"/>
        <v>0</v>
      </c>
      <c r="H74" s="727">
        <f t="shared" si="15"/>
        <v>0</v>
      </c>
      <c r="I74" s="727">
        <f t="shared" si="15"/>
        <v>0</v>
      </c>
      <c r="J74" s="727">
        <f t="shared" si="15"/>
        <v>0</v>
      </c>
      <c r="K74" s="727">
        <f t="shared" si="15"/>
        <v>0</v>
      </c>
      <c r="L74" s="727">
        <f t="shared" si="15"/>
        <v>0</v>
      </c>
      <c r="M74" s="727">
        <f t="shared" si="15"/>
        <v>0</v>
      </c>
      <c r="N74" s="727">
        <f t="shared" si="15"/>
        <v>0</v>
      </c>
      <c r="O74" s="727">
        <f t="shared" si="15"/>
        <v>0</v>
      </c>
      <c r="P74" s="727">
        <f t="shared" si="15"/>
        <v>0</v>
      </c>
      <c r="Q74" s="727">
        <f t="shared" si="15"/>
        <v>0</v>
      </c>
      <c r="R74" s="727">
        <f t="shared" si="15"/>
        <v>0</v>
      </c>
      <c r="S74" s="727">
        <f t="shared" si="15"/>
        <v>0</v>
      </c>
      <c r="T74" s="727">
        <f t="shared" si="15"/>
        <v>0</v>
      </c>
      <c r="U74" s="727">
        <f t="shared" si="15"/>
        <v>0</v>
      </c>
      <c r="V74" s="727">
        <f t="shared" si="15"/>
        <v>0</v>
      </c>
      <c r="W74" s="727">
        <f t="shared" si="15"/>
        <v>0</v>
      </c>
      <c r="X74" s="727">
        <f t="shared" si="15"/>
        <v>0</v>
      </c>
      <c r="Y74" s="727">
        <f t="shared" si="15"/>
        <v>0</v>
      </c>
      <c r="Z74" s="727">
        <f t="shared" si="19"/>
        <v>0</v>
      </c>
      <c r="AB74" s="53" t="s">
        <v>0</v>
      </c>
    </row>
    <row r="75" spans="2:28" x14ac:dyDescent="0.25">
      <c r="B75" s="123">
        <f t="shared" si="20"/>
        <v>13</v>
      </c>
      <c r="C75" s="121" t="str">
        <f t="shared" si="14"/>
        <v/>
      </c>
      <c r="D75" s="723">
        <f t="shared" si="16"/>
        <v>0</v>
      </c>
      <c r="E75" s="723">
        <f t="shared" si="17"/>
        <v>0</v>
      </c>
      <c r="F75" s="727">
        <f t="shared" si="18"/>
        <v>0</v>
      </c>
      <c r="G75" s="727">
        <f t="shared" si="15"/>
        <v>0</v>
      </c>
      <c r="H75" s="727">
        <f t="shared" si="15"/>
        <v>0</v>
      </c>
      <c r="I75" s="727">
        <f t="shared" si="15"/>
        <v>0</v>
      </c>
      <c r="J75" s="727">
        <f t="shared" si="15"/>
        <v>0</v>
      </c>
      <c r="K75" s="727">
        <f t="shared" si="15"/>
        <v>0</v>
      </c>
      <c r="L75" s="727">
        <f t="shared" si="15"/>
        <v>0</v>
      </c>
      <c r="M75" s="727">
        <f t="shared" si="15"/>
        <v>0</v>
      </c>
      <c r="N75" s="727">
        <f t="shared" si="15"/>
        <v>0</v>
      </c>
      <c r="O75" s="727">
        <f t="shared" si="15"/>
        <v>0</v>
      </c>
      <c r="P75" s="727">
        <f t="shared" si="15"/>
        <v>0</v>
      </c>
      <c r="Q75" s="727">
        <f t="shared" si="15"/>
        <v>0</v>
      </c>
      <c r="R75" s="727">
        <f t="shared" si="15"/>
        <v>0</v>
      </c>
      <c r="S75" s="727">
        <f t="shared" si="15"/>
        <v>0</v>
      </c>
      <c r="T75" s="727">
        <f t="shared" si="15"/>
        <v>0</v>
      </c>
      <c r="U75" s="727">
        <f t="shared" si="15"/>
        <v>0</v>
      </c>
      <c r="V75" s="727">
        <f t="shared" si="15"/>
        <v>0</v>
      </c>
      <c r="W75" s="727">
        <f t="shared" si="15"/>
        <v>0</v>
      </c>
      <c r="X75" s="727">
        <f t="shared" si="15"/>
        <v>0</v>
      </c>
      <c r="Y75" s="727">
        <f t="shared" si="15"/>
        <v>0</v>
      </c>
      <c r="Z75" s="727">
        <f t="shared" si="19"/>
        <v>0</v>
      </c>
      <c r="AB75" s="53" t="s">
        <v>0</v>
      </c>
    </row>
    <row r="76" spans="2:28" x14ac:dyDescent="0.25">
      <c r="B76" s="123">
        <f t="shared" si="20"/>
        <v>14</v>
      </c>
      <c r="C76" s="121" t="str">
        <f t="shared" si="14"/>
        <v/>
      </c>
      <c r="D76" s="723">
        <f t="shared" si="16"/>
        <v>0</v>
      </c>
      <c r="E76" s="723">
        <f t="shared" si="17"/>
        <v>0</v>
      </c>
      <c r="F76" s="727">
        <f t="shared" si="18"/>
        <v>0</v>
      </c>
      <c r="G76" s="727">
        <f t="shared" si="15"/>
        <v>0</v>
      </c>
      <c r="H76" s="727">
        <f t="shared" si="15"/>
        <v>0</v>
      </c>
      <c r="I76" s="727">
        <f t="shared" si="15"/>
        <v>0</v>
      </c>
      <c r="J76" s="727">
        <f t="shared" si="15"/>
        <v>0</v>
      </c>
      <c r="K76" s="727">
        <f t="shared" si="15"/>
        <v>0</v>
      </c>
      <c r="L76" s="727">
        <f t="shared" si="15"/>
        <v>0</v>
      </c>
      <c r="M76" s="727">
        <f t="shared" si="15"/>
        <v>0</v>
      </c>
      <c r="N76" s="727">
        <f t="shared" si="15"/>
        <v>0</v>
      </c>
      <c r="O76" s="727">
        <f t="shared" ref="O76:Y82" si="21">IF(OR($C76="",O$62=""),0,($C76*(1-$C76)*O$62*(1-O$62))/((1+$I$56)*($C76+O$62)-$C76*O$62))</f>
        <v>0</v>
      </c>
      <c r="P76" s="727">
        <f t="shared" si="21"/>
        <v>0</v>
      </c>
      <c r="Q76" s="727">
        <f t="shared" si="21"/>
        <v>0</v>
      </c>
      <c r="R76" s="727">
        <f t="shared" si="21"/>
        <v>0</v>
      </c>
      <c r="S76" s="727">
        <f t="shared" si="21"/>
        <v>0</v>
      </c>
      <c r="T76" s="727">
        <f t="shared" si="21"/>
        <v>0</v>
      </c>
      <c r="U76" s="727">
        <f t="shared" si="21"/>
        <v>0</v>
      </c>
      <c r="V76" s="727">
        <f t="shared" si="21"/>
        <v>0</v>
      </c>
      <c r="W76" s="727">
        <f t="shared" si="21"/>
        <v>0</v>
      </c>
      <c r="X76" s="727">
        <f t="shared" si="21"/>
        <v>0</v>
      </c>
      <c r="Y76" s="727">
        <f t="shared" si="21"/>
        <v>0</v>
      </c>
      <c r="Z76" s="727">
        <f t="shared" si="19"/>
        <v>0</v>
      </c>
      <c r="AB76" s="53" t="s">
        <v>0</v>
      </c>
    </row>
    <row r="77" spans="2:28" x14ac:dyDescent="0.25">
      <c r="B77" s="123">
        <f t="shared" si="20"/>
        <v>15</v>
      </c>
      <c r="C77" s="121" t="str">
        <f t="shared" si="14"/>
        <v/>
      </c>
      <c r="D77" s="723">
        <f t="shared" si="16"/>
        <v>0</v>
      </c>
      <c r="E77" s="723">
        <f t="shared" si="17"/>
        <v>0</v>
      </c>
      <c r="F77" s="727">
        <f t="shared" si="18"/>
        <v>0</v>
      </c>
      <c r="G77" s="727">
        <f t="shared" ref="G77:N82" si="22">IF(OR($C77="",G$62=""),0,($C77*(1-$C77)*G$62*(1-G$62))/((1+$I$56)*($C77+G$62)-$C77*G$62))</f>
        <v>0</v>
      </c>
      <c r="H77" s="727">
        <f t="shared" si="22"/>
        <v>0</v>
      </c>
      <c r="I77" s="727">
        <f t="shared" si="22"/>
        <v>0</v>
      </c>
      <c r="J77" s="727">
        <f t="shared" si="22"/>
        <v>0</v>
      </c>
      <c r="K77" s="727">
        <f t="shared" si="22"/>
        <v>0</v>
      </c>
      <c r="L77" s="727">
        <f t="shared" si="22"/>
        <v>0</v>
      </c>
      <c r="M77" s="727">
        <f t="shared" si="22"/>
        <v>0</v>
      </c>
      <c r="N77" s="727">
        <f t="shared" si="22"/>
        <v>0</v>
      </c>
      <c r="O77" s="727">
        <f t="shared" si="21"/>
        <v>0</v>
      </c>
      <c r="P77" s="727">
        <f t="shared" si="21"/>
        <v>0</v>
      </c>
      <c r="Q77" s="727">
        <f t="shared" si="21"/>
        <v>0</v>
      </c>
      <c r="R77" s="727">
        <f t="shared" si="21"/>
        <v>0</v>
      </c>
      <c r="S77" s="727">
        <f t="shared" si="21"/>
        <v>0</v>
      </c>
      <c r="T77" s="727">
        <f t="shared" si="21"/>
        <v>0</v>
      </c>
      <c r="U77" s="727">
        <f t="shared" si="21"/>
        <v>0</v>
      </c>
      <c r="V77" s="727">
        <f t="shared" si="21"/>
        <v>0</v>
      </c>
      <c r="W77" s="727">
        <f t="shared" si="21"/>
        <v>0</v>
      </c>
      <c r="X77" s="727">
        <f t="shared" si="21"/>
        <v>0</v>
      </c>
      <c r="Y77" s="727">
        <f t="shared" si="21"/>
        <v>0</v>
      </c>
      <c r="Z77" s="727">
        <f t="shared" si="19"/>
        <v>0</v>
      </c>
      <c r="AB77" s="53" t="s">
        <v>0</v>
      </c>
    </row>
    <row r="78" spans="2:28" x14ac:dyDescent="0.25">
      <c r="B78" s="123">
        <f t="shared" si="20"/>
        <v>16</v>
      </c>
      <c r="C78" s="121" t="str">
        <f t="shared" si="14"/>
        <v/>
      </c>
      <c r="D78" s="723">
        <f t="shared" si="16"/>
        <v>0</v>
      </c>
      <c r="E78" s="723">
        <f t="shared" si="17"/>
        <v>0</v>
      </c>
      <c r="F78" s="727">
        <f t="shared" si="18"/>
        <v>0</v>
      </c>
      <c r="G78" s="727">
        <f t="shared" si="22"/>
        <v>0</v>
      </c>
      <c r="H78" s="727">
        <f t="shared" si="22"/>
        <v>0</v>
      </c>
      <c r="I78" s="727">
        <f t="shared" si="22"/>
        <v>0</v>
      </c>
      <c r="J78" s="727">
        <f t="shared" si="22"/>
        <v>0</v>
      </c>
      <c r="K78" s="727">
        <f t="shared" si="22"/>
        <v>0</v>
      </c>
      <c r="L78" s="727">
        <f t="shared" si="22"/>
        <v>0</v>
      </c>
      <c r="M78" s="727">
        <f t="shared" si="22"/>
        <v>0</v>
      </c>
      <c r="N78" s="727">
        <f t="shared" si="22"/>
        <v>0</v>
      </c>
      <c r="O78" s="727">
        <f t="shared" si="21"/>
        <v>0</v>
      </c>
      <c r="P78" s="727">
        <f t="shared" si="21"/>
        <v>0</v>
      </c>
      <c r="Q78" s="727">
        <f t="shared" si="21"/>
        <v>0</v>
      </c>
      <c r="R78" s="727">
        <f t="shared" si="21"/>
        <v>0</v>
      </c>
      <c r="S78" s="727">
        <f t="shared" si="21"/>
        <v>0</v>
      </c>
      <c r="T78" s="727">
        <f t="shared" si="21"/>
        <v>0</v>
      </c>
      <c r="U78" s="727">
        <f t="shared" si="21"/>
        <v>0</v>
      </c>
      <c r="V78" s="727">
        <f t="shared" si="21"/>
        <v>0</v>
      </c>
      <c r="W78" s="727">
        <f t="shared" si="21"/>
        <v>0</v>
      </c>
      <c r="X78" s="727">
        <f t="shared" si="21"/>
        <v>0</v>
      </c>
      <c r="Y78" s="727">
        <f t="shared" si="21"/>
        <v>0</v>
      </c>
      <c r="Z78" s="727">
        <f t="shared" si="19"/>
        <v>0</v>
      </c>
      <c r="AB78" s="53" t="s">
        <v>0</v>
      </c>
    </row>
    <row r="79" spans="2:28" x14ac:dyDescent="0.25">
      <c r="B79" s="123">
        <f t="shared" si="20"/>
        <v>17</v>
      </c>
      <c r="C79" s="121" t="str">
        <f t="shared" si="14"/>
        <v/>
      </c>
      <c r="D79" s="723">
        <f t="shared" si="16"/>
        <v>0</v>
      </c>
      <c r="E79" s="723">
        <f t="shared" si="17"/>
        <v>0</v>
      </c>
      <c r="F79" s="727">
        <f t="shared" si="18"/>
        <v>0</v>
      </c>
      <c r="G79" s="727">
        <f t="shared" si="22"/>
        <v>0</v>
      </c>
      <c r="H79" s="727">
        <f t="shared" si="22"/>
        <v>0</v>
      </c>
      <c r="I79" s="727">
        <f t="shared" si="22"/>
        <v>0</v>
      </c>
      <c r="J79" s="727">
        <f t="shared" si="22"/>
        <v>0</v>
      </c>
      <c r="K79" s="727">
        <f t="shared" si="22"/>
        <v>0</v>
      </c>
      <c r="L79" s="727">
        <f t="shared" si="22"/>
        <v>0</v>
      </c>
      <c r="M79" s="727">
        <f t="shared" si="22"/>
        <v>0</v>
      </c>
      <c r="N79" s="727">
        <f t="shared" si="22"/>
        <v>0</v>
      </c>
      <c r="O79" s="727">
        <f t="shared" si="21"/>
        <v>0</v>
      </c>
      <c r="P79" s="727">
        <f t="shared" si="21"/>
        <v>0</v>
      </c>
      <c r="Q79" s="727">
        <f t="shared" si="21"/>
        <v>0</v>
      </c>
      <c r="R79" s="727">
        <f t="shared" si="21"/>
        <v>0</v>
      </c>
      <c r="S79" s="727">
        <f t="shared" si="21"/>
        <v>0</v>
      </c>
      <c r="T79" s="727">
        <f t="shared" si="21"/>
        <v>0</v>
      </c>
      <c r="U79" s="727">
        <f t="shared" si="21"/>
        <v>0</v>
      </c>
      <c r="V79" s="727">
        <f t="shared" si="21"/>
        <v>0</v>
      </c>
      <c r="W79" s="727">
        <f t="shared" si="21"/>
        <v>0</v>
      </c>
      <c r="X79" s="727">
        <f t="shared" si="21"/>
        <v>0</v>
      </c>
      <c r="Y79" s="727">
        <f t="shared" si="21"/>
        <v>0</v>
      </c>
      <c r="Z79" s="727">
        <f t="shared" si="19"/>
        <v>0</v>
      </c>
      <c r="AB79" s="53" t="s">
        <v>0</v>
      </c>
    </row>
    <row r="80" spans="2:28" x14ac:dyDescent="0.25">
      <c r="B80" s="123">
        <f t="shared" si="20"/>
        <v>18</v>
      </c>
      <c r="C80" s="121" t="str">
        <f t="shared" si="14"/>
        <v/>
      </c>
      <c r="D80" s="723">
        <f t="shared" si="16"/>
        <v>0</v>
      </c>
      <c r="E80" s="723">
        <f t="shared" si="17"/>
        <v>0</v>
      </c>
      <c r="F80" s="727">
        <f t="shared" si="18"/>
        <v>0</v>
      </c>
      <c r="G80" s="727">
        <f t="shared" si="22"/>
        <v>0</v>
      </c>
      <c r="H80" s="727">
        <f t="shared" si="22"/>
        <v>0</v>
      </c>
      <c r="I80" s="727">
        <f t="shared" si="22"/>
        <v>0</v>
      </c>
      <c r="J80" s="727">
        <f t="shared" si="22"/>
        <v>0</v>
      </c>
      <c r="K80" s="727">
        <f t="shared" si="22"/>
        <v>0</v>
      </c>
      <c r="L80" s="727">
        <f t="shared" si="22"/>
        <v>0</v>
      </c>
      <c r="M80" s="727">
        <f t="shared" si="22"/>
        <v>0</v>
      </c>
      <c r="N80" s="727">
        <f t="shared" si="22"/>
        <v>0</v>
      </c>
      <c r="O80" s="727">
        <f t="shared" si="21"/>
        <v>0</v>
      </c>
      <c r="P80" s="727">
        <f t="shared" si="21"/>
        <v>0</v>
      </c>
      <c r="Q80" s="727">
        <f t="shared" si="21"/>
        <v>0</v>
      </c>
      <c r="R80" s="727">
        <f t="shared" si="21"/>
        <v>0</v>
      </c>
      <c r="S80" s="727">
        <f t="shared" si="21"/>
        <v>0</v>
      </c>
      <c r="T80" s="727">
        <f t="shared" si="21"/>
        <v>0</v>
      </c>
      <c r="U80" s="727">
        <f t="shared" si="21"/>
        <v>0</v>
      </c>
      <c r="V80" s="727">
        <f t="shared" si="21"/>
        <v>0</v>
      </c>
      <c r="W80" s="727">
        <f t="shared" si="21"/>
        <v>0</v>
      </c>
      <c r="X80" s="727">
        <f t="shared" si="21"/>
        <v>0</v>
      </c>
      <c r="Y80" s="727">
        <f t="shared" si="21"/>
        <v>0</v>
      </c>
      <c r="Z80" s="727">
        <f t="shared" si="19"/>
        <v>0</v>
      </c>
      <c r="AB80" s="53" t="s">
        <v>0</v>
      </c>
    </row>
    <row r="81" spans="2:28" x14ac:dyDescent="0.25">
      <c r="B81" s="123">
        <f t="shared" si="20"/>
        <v>19</v>
      </c>
      <c r="C81" s="121" t="str">
        <f t="shared" si="14"/>
        <v/>
      </c>
      <c r="D81" s="723">
        <f t="shared" si="16"/>
        <v>0</v>
      </c>
      <c r="E81" s="723">
        <f t="shared" si="17"/>
        <v>0</v>
      </c>
      <c r="F81" s="727">
        <f t="shared" si="18"/>
        <v>0</v>
      </c>
      <c r="G81" s="727">
        <f t="shared" si="22"/>
        <v>0</v>
      </c>
      <c r="H81" s="727">
        <f t="shared" si="22"/>
        <v>0</v>
      </c>
      <c r="I81" s="727">
        <f t="shared" si="22"/>
        <v>0</v>
      </c>
      <c r="J81" s="727">
        <f t="shared" si="22"/>
        <v>0</v>
      </c>
      <c r="K81" s="727">
        <f t="shared" si="22"/>
        <v>0</v>
      </c>
      <c r="L81" s="727">
        <f t="shared" si="22"/>
        <v>0</v>
      </c>
      <c r="M81" s="727">
        <f t="shared" si="22"/>
        <v>0</v>
      </c>
      <c r="N81" s="727">
        <f t="shared" si="22"/>
        <v>0</v>
      </c>
      <c r="O81" s="727">
        <f t="shared" si="21"/>
        <v>0</v>
      </c>
      <c r="P81" s="727">
        <f t="shared" si="21"/>
        <v>0</v>
      </c>
      <c r="Q81" s="727">
        <f t="shared" si="21"/>
        <v>0</v>
      </c>
      <c r="R81" s="727">
        <f t="shared" si="21"/>
        <v>0</v>
      </c>
      <c r="S81" s="727">
        <f t="shared" si="21"/>
        <v>0</v>
      </c>
      <c r="T81" s="727">
        <f t="shared" si="21"/>
        <v>0</v>
      </c>
      <c r="U81" s="727">
        <f t="shared" si="21"/>
        <v>0</v>
      </c>
      <c r="V81" s="727">
        <f t="shared" si="21"/>
        <v>0</v>
      </c>
      <c r="W81" s="727">
        <f t="shared" si="21"/>
        <v>0</v>
      </c>
      <c r="X81" s="727">
        <f t="shared" si="21"/>
        <v>0</v>
      </c>
      <c r="Y81" s="727">
        <f t="shared" si="21"/>
        <v>0</v>
      </c>
      <c r="Z81" s="727">
        <f t="shared" si="19"/>
        <v>0</v>
      </c>
      <c r="AB81" s="53" t="s">
        <v>0</v>
      </c>
    </row>
    <row r="82" spans="2:28" x14ac:dyDescent="0.25">
      <c r="B82" s="118">
        <f t="shared" si="20"/>
        <v>20</v>
      </c>
      <c r="C82" s="122" t="str">
        <f t="shared" si="14"/>
        <v/>
      </c>
      <c r="D82" s="724">
        <f t="shared" si="16"/>
        <v>0</v>
      </c>
      <c r="E82" s="724">
        <f t="shared" si="17"/>
        <v>0</v>
      </c>
      <c r="F82" s="728">
        <f t="shared" si="18"/>
        <v>0</v>
      </c>
      <c r="G82" s="728">
        <f t="shared" si="22"/>
        <v>0</v>
      </c>
      <c r="H82" s="728">
        <f t="shared" si="22"/>
        <v>0</v>
      </c>
      <c r="I82" s="728">
        <f t="shared" si="22"/>
        <v>0</v>
      </c>
      <c r="J82" s="728">
        <f t="shared" si="22"/>
        <v>0</v>
      </c>
      <c r="K82" s="728">
        <f t="shared" si="22"/>
        <v>0</v>
      </c>
      <c r="L82" s="728">
        <f t="shared" si="22"/>
        <v>0</v>
      </c>
      <c r="M82" s="728">
        <f t="shared" si="22"/>
        <v>0</v>
      </c>
      <c r="N82" s="728">
        <f t="shared" si="22"/>
        <v>0</v>
      </c>
      <c r="O82" s="728">
        <f t="shared" si="21"/>
        <v>0</v>
      </c>
      <c r="P82" s="728">
        <f t="shared" si="21"/>
        <v>0</v>
      </c>
      <c r="Q82" s="728">
        <f t="shared" si="21"/>
        <v>0</v>
      </c>
      <c r="R82" s="728">
        <f t="shared" si="21"/>
        <v>0</v>
      </c>
      <c r="S82" s="728">
        <f t="shared" si="21"/>
        <v>0</v>
      </c>
      <c r="T82" s="728">
        <f t="shared" si="21"/>
        <v>0</v>
      </c>
      <c r="U82" s="728">
        <f t="shared" si="21"/>
        <v>0</v>
      </c>
      <c r="V82" s="728">
        <f t="shared" si="21"/>
        <v>0</v>
      </c>
      <c r="W82" s="728">
        <f t="shared" si="21"/>
        <v>0</v>
      </c>
      <c r="X82" s="728">
        <f t="shared" si="21"/>
        <v>0</v>
      </c>
      <c r="Y82" s="728">
        <f t="shared" si="21"/>
        <v>0</v>
      </c>
      <c r="Z82" s="728">
        <f t="shared" si="19"/>
        <v>0</v>
      </c>
      <c r="AB82" s="53" t="s">
        <v>0</v>
      </c>
    </row>
    <row r="83" spans="2:28" ht="15.75" thickBot="1" x14ac:dyDescent="0.3">
      <c r="B83" s="95"/>
      <c r="C83" s="98"/>
      <c r="D83" s="725">
        <f>SUM(D63:D82)</f>
        <v>0</v>
      </c>
      <c r="E83" s="725">
        <f>SUM(E63:E82)</f>
        <v>0</v>
      </c>
      <c r="F83" s="95"/>
      <c r="G83" s="95"/>
      <c r="H83" s="95"/>
      <c r="I83" s="95"/>
      <c r="J83" s="95"/>
      <c r="K83" s="95"/>
      <c r="L83" s="95"/>
      <c r="M83" s="95"/>
      <c r="N83" s="95"/>
      <c r="O83" s="95"/>
      <c r="P83" s="95"/>
      <c r="Q83" s="95"/>
      <c r="R83" s="95"/>
      <c r="S83" s="95"/>
      <c r="T83" s="95"/>
      <c r="U83" s="95"/>
      <c r="V83" s="95"/>
      <c r="W83" s="95"/>
      <c r="X83" s="95"/>
      <c r="Y83" s="95"/>
      <c r="Z83" s="95"/>
      <c r="AB83" s="53" t="s">
        <v>0</v>
      </c>
    </row>
    <row r="84" spans="2:28" x14ac:dyDescent="0.25">
      <c r="B84" s="95"/>
      <c r="C84" s="98"/>
      <c r="D84" s="95"/>
      <c r="E84" s="95"/>
      <c r="F84" s="95"/>
      <c r="G84" s="95"/>
      <c r="H84" s="95"/>
      <c r="I84" s="95"/>
      <c r="J84" s="95"/>
      <c r="K84" s="95"/>
      <c r="L84" s="95"/>
      <c r="M84" s="95"/>
      <c r="N84" s="95"/>
      <c r="O84" s="95"/>
      <c r="P84" s="95"/>
      <c r="Q84" s="95"/>
      <c r="R84" s="95"/>
      <c r="S84" s="95"/>
      <c r="T84" s="95"/>
      <c r="U84" s="95"/>
      <c r="V84" s="95"/>
      <c r="W84" s="95"/>
      <c r="X84" s="95"/>
      <c r="Y84" s="95"/>
      <c r="Z84" s="95"/>
      <c r="AB84" s="53" t="s">
        <v>0</v>
      </c>
    </row>
    <row r="85" spans="2:28" x14ac:dyDescent="0.25">
      <c r="B85" s="95"/>
      <c r="C85" s="98"/>
      <c r="D85" s="95" t="b">
        <f>D83=SUM(Q18:Q47)</f>
        <v>1</v>
      </c>
      <c r="E85" s="95"/>
      <c r="F85" s="95"/>
      <c r="G85" s="95"/>
      <c r="H85" s="95"/>
      <c r="I85" s="95"/>
      <c r="J85" s="95"/>
      <c r="K85" s="95"/>
      <c r="L85" s="95"/>
      <c r="M85" s="95"/>
      <c r="N85" s="95"/>
      <c r="O85" s="95"/>
      <c r="P85" s="95"/>
      <c r="Q85" s="95"/>
      <c r="R85" s="95"/>
      <c r="S85" s="95"/>
      <c r="T85" s="95"/>
      <c r="U85" s="95"/>
      <c r="V85" s="95"/>
      <c r="W85" s="95"/>
      <c r="X85" s="95"/>
      <c r="Y85" s="95"/>
      <c r="Z85" s="95"/>
      <c r="AB85" s="53" t="s">
        <v>0</v>
      </c>
    </row>
    <row r="86" spans="2:28" x14ac:dyDescent="0.25">
      <c r="B86" s="95"/>
      <c r="C86" s="98"/>
      <c r="D86" s="95"/>
      <c r="E86" s="95"/>
      <c r="F86" s="95"/>
      <c r="G86" s="95"/>
      <c r="H86" s="95"/>
      <c r="I86" s="95"/>
      <c r="J86" s="95"/>
      <c r="K86" s="95"/>
      <c r="L86" s="95"/>
      <c r="M86" s="95"/>
      <c r="N86" s="95"/>
      <c r="O86" s="95"/>
      <c r="P86" s="95"/>
      <c r="Q86" s="95"/>
      <c r="R86" s="95"/>
      <c r="S86" s="95"/>
      <c r="T86" s="95"/>
      <c r="U86" s="95"/>
      <c r="V86" s="95"/>
      <c r="W86" s="95"/>
      <c r="X86" s="95"/>
      <c r="Y86" s="95"/>
      <c r="Z86" s="95"/>
      <c r="AB86" s="53" t="s">
        <v>0</v>
      </c>
    </row>
    <row r="87" spans="2:28" x14ac:dyDescent="0.25">
      <c r="B87" s="95"/>
      <c r="C87" s="98"/>
      <c r="D87" s="95"/>
      <c r="E87" s="95"/>
      <c r="F87" s="95"/>
      <c r="G87" s="95"/>
      <c r="H87" s="95"/>
      <c r="I87" s="95"/>
      <c r="J87" s="95"/>
      <c r="K87" s="95"/>
      <c r="L87" s="95"/>
      <c r="M87" s="95"/>
      <c r="N87" s="95"/>
      <c r="O87" s="95"/>
      <c r="P87" s="95"/>
      <c r="Q87" s="95"/>
      <c r="R87" s="95"/>
      <c r="S87" s="95"/>
      <c r="T87" s="95"/>
      <c r="U87" s="95"/>
      <c r="V87" s="95"/>
      <c r="W87" s="95"/>
      <c r="X87" s="95"/>
      <c r="Y87" s="95"/>
      <c r="Z87" s="95"/>
      <c r="AB87" s="53" t="s">
        <v>0</v>
      </c>
    </row>
    <row r="88" spans="2:28" x14ac:dyDescent="0.25">
      <c r="AB88" s="53" t="s">
        <v>0</v>
      </c>
    </row>
    <row r="89" spans="2:28" x14ac:dyDescent="0.25">
      <c r="B89" s="762" t="s">
        <v>187</v>
      </c>
      <c r="C89" s="771"/>
      <c r="D89" s="771"/>
      <c r="E89" s="771"/>
      <c r="F89" s="771"/>
      <c r="G89" s="771"/>
      <c r="H89" s="763"/>
      <c r="AB89" s="53" t="s">
        <v>0</v>
      </c>
    </row>
    <row r="90" spans="2:28" ht="15" customHeight="1" x14ac:dyDescent="0.25">
      <c r="B90" s="787"/>
      <c r="C90" s="788"/>
      <c r="D90" s="788"/>
      <c r="E90" s="788"/>
      <c r="F90" s="789"/>
      <c r="G90" s="125" t="s">
        <v>189</v>
      </c>
      <c r="H90" s="119" t="s">
        <v>404</v>
      </c>
      <c r="AB90" s="53" t="s">
        <v>0</v>
      </c>
    </row>
    <row r="91" spans="2:28" ht="15" customHeight="1" x14ac:dyDescent="0.25">
      <c r="B91" s="784" t="s">
        <v>188</v>
      </c>
      <c r="C91" s="785"/>
      <c r="D91" s="785"/>
      <c r="E91" s="785"/>
      <c r="F91" s="786"/>
      <c r="G91" s="131"/>
      <c r="H91" s="729">
        <f>G91*0.15</f>
        <v>0</v>
      </c>
      <c r="AB91" s="53" t="s">
        <v>0</v>
      </c>
    </row>
    <row r="92" spans="2:28" ht="15.75" customHeight="1" x14ac:dyDescent="0.25">
      <c r="B92" s="811" t="s">
        <v>190</v>
      </c>
      <c r="C92" s="812"/>
      <c r="D92" s="812"/>
      <c r="E92" s="812"/>
      <c r="F92" s="813"/>
      <c r="G92" s="132"/>
      <c r="H92" s="730">
        <f>G92*0.9</f>
        <v>0</v>
      </c>
      <c r="AB92" s="53" t="s">
        <v>0</v>
      </c>
    </row>
    <row r="93" spans="2:28" x14ac:dyDescent="0.25">
      <c r="B93" s="451" t="s">
        <v>217</v>
      </c>
      <c r="C93" s="452"/>
      <c r="D93" s="452"/>
      <c r="E93" s="452"/>
      <c r="F93" s="452"/>
      <c r="G93" s="453"/>
      <c r="H93" s="731">
        <f>H91+H92</f>
        <v>0</v>
      </c>
      <c r="AB93" s="53" t="s">
        <v>0</v>
      </c>
    </row>
    <row r="94" spans="2:28" x14ac:dyDescent="0.25">
      <c r="B94" s="545"/>
      <c r="C94" s="545"/>
      <c r="D94" s="545"/>
      <c r="E94" s="545"/>
      <c r="F94" s="545"/>
      <c r="G94" s="545"/>
      <c r="H94" s="546"/>
      <c r="AB94" s="53" t="s">
        <v>0</v>
      </c>
    </row>
    <row r="95" spans="2:28" x14ac:dyDescent="0.25">
      <c r="B95" s="545"/>
      <c r="C95" s="545"/>
      <c r="D95" s="545"/>
      <c r="E95" s="545"/>
      <c r="F95" s="545"/>
      <c r="G95" s="545"/>
      <c r="H95" s="546"/>
      <c r="AB95" s="53" t="s">
        <v>0</v>
      </c>
    </row>
    <row r="96" spans="2:28" x14ac:dyDescent="0.25">
      <c r="B96" s="545"/>
      <c r="C96" s="545"/>
      <c r="D96" s="545"/>
      <c r="E96" s="545"/>
      <c r="F96" s="545"/>
      <c r="G96" s="545"/>
      <c r="H96" s="546"/>
      <c r="AB96" s="53" t="s">
        <v>0</v>
      </c>
    </row>
    <row r="97" spans="1:28" x14ac:dyDescent="0.25">
      <c r="B97" s="99" t="s">
        <v>500</v>
      </c>
      <c r="C97" s="479"/>
      <c r="D97" s="479"/>
      <c r="E97" s="479"/>
      <c r="F97" s="479"/>
      <c r="G97" s="479"/>
      <c r="H97" s="479"/>
      <c r="I97" s="479"/>
      <c r="J97" s="479"/>
      <c r="K97" s="479"/>
      <c r="L97" s="479"/>
      <c r="M97" s="479"/>
      <c r="N97" s="479"/>
      <c r="O97" s="479"/>
      <c r="P97" s="479"/>
      <c r="Q97" s="479"/>
      <c r="R97" s="479"/>
      <c r="S97" s="479"/>
      <c r="T97" s="479"/>
      <c r="U97" s="479"/>
      <c r="V97" s="479"/>
      <c r="W97" s="479"/>
      <c r="X97" s="479"/>
      <c r="AB97" s="53" t="s">
        <v>0</v>
      </c>
    </row>
    <row r="98" spans="1:28" x14ac:dyDescent="0.25">
      <c r="B98" s="209" t="s">
        <v>565</v>
      </c>
      <c r="C98" s="639">
        <f>IF('Overview SRA'!$G$18="No",SUM(F57),"-")</f>
        <v>0</v>
      </c>
      <c r="D98" s="629" t="str">
        <f>IF('Overview SRA'!$G$18="No",IF(OR(SUM(C99)&lt;SUM(C98)-0.5,SUM(C99)&gt;SUM(C98)+0.5),"ALERT: Implemented shock deviates from prescribed shock!",""),"")</f>
        <v/>
      </c>
      <c r="E98" s="519"/>
      <c r="F98" s="519"/>
      <c r="G98" s="519"/>
      <c r="H98" s="519"/>
      <c r="I98" s="519"/>
      <c r="J98" s="519"/>
      <c r="K98" s="519"/>
      <c r="L98" s="519"/>
      <c r="M98" s="519"/>
      <c r="N98" s="519"/>
      <c r="O98" s="519"/>
      <c r="P98" s="519"/>
      <c r="Q98" s="519"/>
      <c r="R98" s="519"/>
      <c r="S98" s="519"/>
      <c r="T98" s="519"/>
      <c r="U98" s="519"/>
      <c r="V98" s="519"/>
      <c r="W98" s="519"/>
      <c r="X98" s="519"/>
      <c r="AB98" s="53"/>
    </row>
    <row r="99" spans="1:28" x14ac:dyDescent="0.25">
      <c r="B99" s="211" t="s">
        <v>566</v>
      </c>
      <c r="C99" s="637">
        <f>IF('Overview SRA'!$G$18="No",MAX(SUM(C107)-SUM(O107),0),"-")</f>
        <v>0</v>
      </c>
      <c r="D99" s="256"/>
      <c r="E99" s="519"/>
      <c r="F99" s="519"/>
      <c r="G99" s="519"/>
      <c r="H99" s="519"/>
      <c r="I99" s="519"/>
      <c r="J99" s="519"/>
      <c r="K99" s="519"/>
      <c r="L99" s="519"/>
      <c r="M99" s="519"/>
      <c r="N99" s="519"/>
      <c r="O99" s="519"/>
      <c r="P99" s="519"/>
      <c r="Q99" s="519"/>
      <c r="R99" s="519"/>
      <c r="S99" s="519"/>
      <c r="T99" s="519"/>
      <c r="U99" s="519"/>
      <c r="V99" s="519"/>
      <c r="W99" s="519"/>
      <c r="X99" s="519"/>
      <c r="AB99" s="53"/>
    </row>
    <row r="100" spans="1:28" x14ac:dyDescent="0.25">
      <c r="B100" s="288" t="s">
        <v>567</v>
      </c>
      <c r="C100" s="590">
        <f>IF('Overview SRA'!$G$18="No",SUM(H93),"-")</f>
        <v>0</v>
      </c>
      <c r="D100" s="629" t="str">
        <f>IF('Overview SRA'!$G$18="No",IF(OR(SUM(C101)&lt;SUM(C100)-0.5,SUM(C101)&gt;SUM(C100)+0.5),"Implemented shock deviates from prescribed shock!",""),"")</f>
        <v/>
      </c>
      <c r="E100" s="519"/>
      <c r="F100" s="519"/>
      <c r="G100" s="519"/>
      <c r="H100" s="519"/>
      <c r="I100" s="519"/>
      <c r="J100" s="519"/>
      <c r="K100" s="519"/>
      <c r="L100" s="519"/>
      <c r="M100" s="519"/>
      <c r="N100" s="519"/>
      <c r="O100" s="519"/>
      <c r="P100" s="519"/>
      <c r="Q100" s="519"/>
      <c r="R100" s="519"/>
      <c r="S100" s="519"/>
      <c r="T100" s="519"/>
      <c r="U100" s="519"/>
      <c r="V100" s="519"/>
      <c r="W100" s="519"/>
      <c r="X100" s="519"/>
      <c r="AB100" s="53"/>
    </row>
    <row r="101" spans="1:28" x14ac:dyDescent="0.25">
      <c r="B101" s="288" t="s">
        <v>568</v>
      </c>
      <c r="C101" s="626">
        <f>IF('Overview SRA'!$G$18="No",MAX(SUM(C109)-SUM(O109),0),"-")</f>
        <v>0</v>
      </c>
      <c r="D101" s="256"/>
      <c r="E101" s="256"/>
      <c r="F101" s="256"/>
      <c r="G101" s="256"/>
      <c r="H101" s="256"/>
      <c r="I101" s="256"/>
      <c r="J101" s="256"/>
      <c r="K101" s="256"/>
      <c r="L101" s="256"/>
      <c r="M101" s="256"/>
      <c r="N101" s="256"/>
      <c r="O101" s="256"/>
      <c r="P101" s="256"/>
      <c r="Q101" s="256"/>
      <c r="R101" s="256"/>
      <c r="S101" s="256"/>
      <c r="T101" s="256"/>
      <c r="U101" s="256"/>
      <c r="V101" s="256"/>
      <c r="W101" s="256"/>
      <c r="X101" s="256"/>
      <c r="AB101" s="53" t="s">
        <v>0</v>
      </c>
    </row>
    <row r="102" spans="1:28" x14ac:dyDescent="0.25">
      <c r="B102" s="474"/>
      <c r="C102" s="475" t="s">
        <v>68</v>
      </c>
      <c r="D102" s="475"/>
      <c r="E102" s="475" t="s">
        <v>223</v>
      </c>
      <c r="F102" s="475"/>
      <c r="G102" s="475"/>
      <c r="H102" s="475"/>
      <c r="I102" s="475"/>
      <c r="J102" s="475"/>
      <c r="K102" s="475"/>
      <c r="L102" s="475"/>
      <c r="M102" s="475"/>
      <c r="N102" s="475"/>
      <c r="O102" s="475" t="s">
        <v>224</v>
      </c>
      <c r="P102" s="475"/>
      <c r="Q102" s="475"/>
      <c r="R102" s="475"/>
      <c r="S102" s="475"/>
      <c r="T102" s="475"/>
      <c r="U102" s="475"/>
      <c r="V102" s="475"/>
      <c r="W102" s="475"/>
      <c r="X102" s="476"/>
      <c r="AB102" s="53" t="s">
        <v>0</v>
      </c>
    </row>
    <row r="103" spans="1:28" x14ac:dyDescent="0.25">
      <c r="B103" s="134"/>
      <c r="C103" s="74" t="s">
        <v>69</v>
      </c>
      <c r="D103" s="74" t="s">
        <v>98</v>
      </c>
      <c r="E103" s="754" t="s">
        <v>82</v>
      </c>
      <c r="F103" s="755"/>
      <c r="G103" s="158" t="s">
        <v>65</v>
      </c>
      <c r="H103" s="159" t="s">
        <v>72</v>
      </c>
      <c r="I103" s="159" t="s">
        <v>75</v>
      </c>
      <c r="J103" s="159" t="s">
        <v>80</v>
      </c>
      <c r="K103" s="159" t="s">
        <v>78</v>
      </c>
      <c r="L103" s="160" t="s">
        <v>8</v>
      </c>
      <c r="M103" s="74" t="s">
        <v>83</v>
      </c>
      <c r="N103" s="33"/>
      <c r="O103" s="74" t="s">
        <v>69</v>
      </c>
      <c r="P103" s="74" t="s">
        <v>14</v>
      </c>
      <c r="Q103" s="480" t="s">
        <v>105</v>
      </c>
      <c r="R103" s="483"/>
      <c r="S103" s="483"/>
      <c r="T103" s="483"/>
      <c r="U103" s="484"/>
      <c r="V103" s="74" t="s">
        <v>92</v>
      </c>
      <c r="W103" s="159" t="s">
        <v>93</v>
      </c>
      <c r="X103" s="160" t="s">
        <v>94</v>
      </c>
      <c r="AB103" s="53" t="s">
        <v>0</v>
      </c>
    </row>
    <row r="104" spans="1:28" x14ac:dyDescent="0.25">
      <c r="B104" s="137"/>
      <c r="C104" s="75" t="s">
        <v>70</v>
      </c>
      <c r="D104" s="157" t="s">
        <v>99</v>
      </c>
      <c r="E104" s="161" t="s">
        <v>62</v>
      </c>
      <c r="F104" s="162" t="s">
        <v>64</v>
      </c>
      <c r="G104" s="163" t="s">
        <v>66</v>
      </c>
      <c r="H104" s="164" t="s">
        <v>73</v>
      </c>
      <c r="I104" s="164" t="s">
        <v>76</v>
      </c>
      <c r="J104" s="164" t="s">
        <v>81</v>
      </c>
      <c r="K104" s="164" t="s">
        <v>79</v>
      </c>
      <c r="L104" s="165"/>
      <c r="M104" s="75" t="s">
        <v>85</v>
      </c>
      <c r="N104" s="130"/>
      <c r="O104" s="75" t="s">
        <v>70</v>
      </c>
      <c r="P104" s="75"/>
      <c r="Q104" s="161" t="s">
        <v>84</v>
      </c>
      <c r="R104" s="172" t="s">
        <v>225</v>
      </c>
      <c r="S104" s="172" t="s">
        <v>226</v>
      </c>
      <c r="T104" s="172" t="s">
        <v>97</v>
      </c>
      <c r="U104" s="162" t="s">
        <v>89</v>
      </c>
      <c r="V104" s="75" t="s">
        <v>71</v>
      </c>
      <c r="W104" s="164" t="s">
        <v>71</v>
      </c>
      <c r="X104" s="165" t="s">
        <v>71</v>
      </c>
      <c r="AB104" s="53" t="s">
        <v>0</v>
      </c>
    </row>
    <row r="105" spans="1:28" x14ac:dyDescent="0.25">
      <c r="B105" s="137"/>
      <c r="C105" s="75" t="s">
        <v>71</v>
      </c>
      <c r="D105" s="75" t="s">
        <v>100</v>
      </c>
      <c r="E105" s="161" t="s">
        <v>63</v>
      </c>
      <c r="F105" s="162" t="s">
        <v>63</v>
      </c>
      <c r="G105" s="163" t="s">
        <v>67</v>
      </c>
      <c r="H105" s="164" t="s">
        <v>74</v>
      </c>
      <c r="I105" s="164" t="s">
        <v>77</v>
      </c>
      <c r="J105" s="164"/>
      <c r="K105" s="164"/>
      <c r="L105" s="165"/>
      <c r="M105" s="75"/>
      <c r="N105" s="130"/>
      <c r="O105" s="75" t="s">
        <v>71</v>
      </c>
      <c r="P105" s="75"/>
      <c r="Q105" s="161" t="s">
        <v>86</v>
      </c>
      <c r="R105" s="172" t="s">
        <v>86</v>
      </c>
      <c r="S105" s="172" t="s">
        <v>86</v>
      </c>
      <c r="T105" s="172" t="s">
        <v>88</v>
      </c>
      <c r="U105" s="162" t="s">
        <v>90</v>
      </c>
      <c r="V105" s="75"/>
      <c r="W105" s="164"/>
      <c r="X105" s="165"/>
      <c r="AB105" s="53" t="s">
        <v>0</v>
      </c>
    </row>
    <row r="106" spans="1:28" x14ac:dyDescent="0.25">
      <c r="B106" s="139"/>
      <c r="C106" s="76"/>
      <c r="D106" s="76" t="s">
        <v>101</v>
      </c>
      <c r="E106" s="163"/>
      <c r="F106" s="165"/>
      <c r="G106" s="163"/>
      <c r="H106" s="164"/>
      <c r="I106" s="164"/>
      <c r="J106" s="164"/>
      <c r="K106" s="164"/>
      <c r="L106" s="165"/>
      <c r="M106" s="76"/>
      <c r="N106" s="130"/>
      <c r="O106" s="76"/>
      <c r="P106" s="76"/>
      <c r="Q106" s="161"/>
      <c r="R106" s="172"/>
      <c r="S106" s="172"/>
      <c r="T106" s="172" t="s">
        <v>87</v>
      </c>
      <c r="U106" s="162" t="s">
        <v>91</v>
      </c>
      <c r="V106" s="76"/>
      <c r="W106" s="167"/>
      <c r="X106" s="55"/>
      <c r="AB106" s="53" t="s">
        <v>0</v>
      </c>
    </row>
    <row r="107" spans="1:28" x14ac:dyDescent="0.25">
      <c r="B107" s="137" t="s">
        <v>498</v>
      </c>
      <c r="C107" s="590">
        <f>SUM('Balance sheet'!$F$8)</f>
        <v>0</v>
      </c>
      <c r="D107" s="145" t="s">
        <v>95</v>
      </c>
      <c r="E107" s="460" t="s">
        <v>5</v>
      </c>
      <c r="F107" s="465" t="s">
        <v>5</v>
      </c>
      <c r="G107" s="460" t="s">
        <v>5</v>
      </c>
      <c r="H107" s="462" t="s">
        <v>5</v>
      </c>
      <c r="I107" s="462" t="s">
        <v>5</v>
      </c>
      <c r="J107" s="462" t="s">
        <v>5</v>
      </c>
      <c r="K107" s="462" t="s">
        <v>5</v>
      </c>
      <c r="L107" s="465" t="s">
        <v>5</v>
      </c>
      <c r="M107" s="636">
        <f>SUM(E107:L107)</f>
        <v>0</v>
      </c>
      <c r="N107" s="130"/>
      <c r="O107" s="590">
        <f>IF(M107&gt;0,SUM(M107)-SUM(P107:X107),C107)</f>
        <v>0</v>
      </c>
      <c r="P107" s="628">
        <f>SUM('Balance sheet'!$F$11)</f>
        <v>0</v>
      </c>
      <c r="Q107" s="460" t="s">
        <v>5</v>
      </c>
      <c r="R107" s="66" t="s">
        <v>5</v>
      </c>
      <c r="S107" s="66" t="s">
        <v>5</v>
      </c>
      <c r="T107" s="66" t="s">
        <v>5</v>
      </c>
      <c r="U107" s="67" t="s">
        <v>5</v>
      </c>
      <c r="V107" s="639">
        <f>SUM(J107)</f>
        <v>0</v>
      </c>
      <c r="W107" s="170" t="s">
        <v>5</v>
      </c>
      <c r="X107" s="169" t="s">
        <v>5</v>
      </c>
      <c r="AB107" s="53" t="s">
        <v>0</v>
      </c>
    </row>
    <row r="108" spans="1:28" x14ac:dyDescent="0.25">
      <c r="B108" s="139"/>
      <c r="C108" s="626">
        <f>SUM('Balance sheet'!$F$8)</f>
        <v>0</v>
      </c>
      <c r="D108" s="57" t="s">
        <v>96</v>
      </c>
      <c r="E108" s="459" t="s">
        <v>5</v>
      </c>
      <c r="F108" s="464" t="s">
        <v>5</v>
      </c>
      <c r="G108" s="459" t="s">
        <v>5</v>
      </c>
      <c r="H108" s="340" t="s">
        <v>5</v>
      </c>
      <c r="I108" s="340" t="s">
        <v>5</v>
      </c>
      <c r="J108" s="340" t="s">
        <v>5</v>
      </c>
      <c r="K108" s="340" t="s">
        <v>5</v>
      </c>
      <c r="L108" s="464" t="s">
        <v>5</v>
      </c>
      <c r="M108" s="637">
        <f>SUM(E108:L108)</f>
        <v>0</v>
      </c>
      <c r="N108" s="130"/>
      <c r="O108" s="626">
        <f>IF(M108&gt;0,SUM(M108)-SUM(P108:X108),C108)</f>
        <v>0</v>
      </c>
      <c r="P108" s="638">
        <f>SUM('Balance sheet'!$F$11)</f>
        <v>0</v>
      </c>
      <c r="Q108" s="466" t="s">
        <v>5</v>
      </c>
      <c r="R108" s="69" t="s">
        <v>5</v>
      </c>
      <c r="S108" s="69" t="s">
        <v>5</v>
      </c>
      <c r="T108" s="69" t="s">
        <v>5</v>
      </c>
      <c r="U108" s="70" t="s">
        <v>5</v>
      </c>
      <c r="V108" s="637">
        <f>SUM(J108)</f>
        <v>0</v>
      </c>
      <c r="W108" s="69" t="s">
        <v>5</v>
      </c>
      <c r="X108" s="70" t="s">
        <v>5</v>
      </c>
      <c r="AB108" s="53" t="s">
        <v>0</v>
      </c>
    </row>
    <row r="109" spans="1:28" x14ac:dyDescent="0.25">
      <c r="B109" s="523" t="s">
        <v>499</v>
      </c>
      <c r="C109" s="590">
        <f>SUM('Balance sheet'!$F$8)</f>
        <v>0</v>
      </c>
      <c r="D109" s="144" t="s">
        <v>95</v>
      </c>
      <c r="E109" s="458" t="s">
        <v>5</v>
      </c>
      <c r="F109" s="461" t="s">
        <v>5</v>
      </c>
      <c r="G109" s="458" t="s">
        <v>5</v>
      </c>
      <c r="H109" s="461" t="s">
        <v>5</v>
      </c>
      <c r="I109" s="461" t="s">
        <v>5</v>
      </c>
      <c r="J109" s="461" t="s">
        <v>5</v>
      </c>
      <c r="K109" s="461" t="s">
        <v>5</v>
      </c>
      <c r="L109" s="463" t="s">
        <v>5</v>
      </c>
      <c r="M109" s="639">
        <f>SUM(E109:L109)</f>
        <v>0</v>
      </c>
      <c r="N109" s="130"/>
      <c r="O109" s="590">
        <f>IF(M109&gt;0,SUM(M109)-SUM(P109:X109),C109)</f>
        <v>0</v>
      </c>
      <c r="P109" s="627">
        <f>SUM('Balance sheet'!$F$11)</f>
        <v>0</v>
      </c>
      <c r="Q109" s="458" t="s">
        <v>5</v>
      </c>
      <c r="R109" s="170" t="s">
        <v>5</v>
      </c>
      <c r="S109" s="170" t="s">
        <v>5</v>
      </c>
      <c r="T109" s="170" t="s">
        <v>5</v>
      </c>
      <c r="U109" s="169" t="s">
        <v>5</v>
      </c>
      <c r="V109" s="639">
        <f t="shared" ref="V109:V110" si="23">SUM(J109)</f>
        <v>0</v>
      </c>
      <c r="W109" s="66" t="s">
        <v>5</v>
      </c>
      <c r="X109" s="67" t="s">
        <v>5</v>
      </c>
      <c r="AB109" s="53" t="s">
        <v>0</v>
      </c>
    </row>
    <row r="110" spans="1:28" x14ac:dyDescent="0.25">
      <c r="B110" s="139"/>
      <c r="C110" s="626">
        <f>SUM('Balance sheet'!$F$8)</f>
        <v>0</v>
      </c>
      <c r="D110" s="57" t="s">
        <v>96</v>
      </c>
      <c r="E110" s="459" t="s">
        <v>5</v>
      </c>
      <c r="F110" s="69" t="s">
        <v>5</v>
      </c>
      <c r="G110" s="68" t="s">
        <v>5</v>
      </c>
      <c r="H110" s="340" t="s">
        <v>5</v>
      </c>
      <c r="I110" s="69" t="s">
        <v>5</v>
      </c>
      <c r="J110" s="69" t="s">
        <v>5</v>
      </c>
      <c r="K110" s="69" t="s">
        <v>5</v>
      </c>
      <c r="L110" s="464" t="s">
        <v>5</v>
      </c>
      <c r="M110" s="637">
        <f>SUM(E110:L110)</f>
        <v>0</v>
      </c>
      <c r="N110" s="34"/>
      <c r="O110" s="626">
        <f>IF(M110&gt;0,SUM(M110)-SUM(P110:X110),C110)</f>
        <v>0</v>
      </c>
      <c r="P110" s="664">
        <f>SUM('Balance sheet'!$F$11)</f>
        <v>0</v>
      </c>
      <c r="Q110" s="466" t="s">
        <v>5</v>
      </c>
      <c r="R110" s="69" t="s">
        <v>5</v>
      </c>
      <c r="S110" s="69" t="s">
        <v>5</v>
      </c>
      <c r="T110" s="69" t="s">
        <v>5</v>
      </c>
      <c r="U110" s="70" t="s">
        <v>5</v>
      </c>
      <c r="V110" s="637">
        <f t="shared" si="23"/>
        <v>0</v>
      </c>
      <c r="W110" s="69" t="s">
        <v>5</v>
      </c>
      <c r="X110" s="70" t="s">
        <v>5</v>
      </c>
      <c r="AB110" s="53" t="s">
        <v>0</v>
      </c>
    </row>
    <row r="111" spans="1:28" x14ac:dyDescent="0.25">
      <c r="B111" s="95"/>
      <c r="AB111" s="53" t="s">
        <v>0</v>
      </c>
    </row>
    <row r="112" spans="1:28" x14ac:dyDescent="0.25">
      <c r="A112" s="53" t="s">
        <v>0</v>
      </c>
      <c r="B112" s="53" t="s">
        <v>0</v>
      </c>
      <c r="C112" s="53" t="s">
        <v>0</v>
      </c>
      <c r="D112" s="53" t="s">
        <v>0</v>
      </c>
      <c r="E112" s="53" t="s">
        <v>0</v>
      </c>
      <c r="F112" s="53" t="s">
        <v>0</v>
      </c>
      <c r="G112" s="53" t="s">
        <v>0</v>
      </c>
      <c r="H112" s="53" t="s">
        <v>0</v>
      </c>
      <c r="I112" s="53" t="s">
        <v>0</v>
      </c>
      <c r="J112" s="53" t="s">
        <v>0</v>
      </c>
      <c r="K112" s="53" t="s">
        <v>0</v>
      </c>
      <c r="L112" s="53" t="s">
        <v>0</v>
      </c>
      <c r="M112" s="53" t="s">
        <v>0</v>
      </c>
      <c r="N112" s="53" t="s">
        <v>0</v>
      </c>
      <c r="O112" s="53" t="s">
        <v>0</v>
      </c>
      <c r="P112" s="53" t="s">
        <v>0</v>
      </c>
      <c r="Q112" s="53" t="s">
        <v>0</v>
      </c>
      <c r="R112" s="53" t="s">
        <v>0</v>
      </c>
      <c r="S112" s="53" t="s">
        <v>0</v>
      </c>
      <c r="T112" s="53" t="s">
        <v>0</v>
      </c>
      <c r="U112" s="53" t="s">
        <v>0</v>
      </c>
      <c r="V112" s="53" t="s">
        <v>0</v>
      </c>
      <c r="W112" s="53" t="s">
        <v>0</v>
      </c>
      <c r="X112" s="53" t="s">
        <v>0</v>
      </c>
      <c r="Y112" s="53" t="s">
        <v>0</v>
      </c>
      <c r="Z112" s="53" t="s">
        <v>0</v>
      </c>
      <c r="AA112" s="53" t="s">
        <v>0</v>
      </c>
      <c r="AB112" s="53" t="s">
        <v>0</v>
      </c>
    </row>
  </sheetData>
  <mergeCells count="28">
    <mergeCell ref="AO6:AO13"/>
    <mergeCell ref="E103:F103"/>
    <mergeCell ref="AT11:AT13"/>
    <mergeCell ref="F59:Y60"/>
    <mergeCell ref="B92:F92"/>
    <mergeCell ref="F61:Y61"/>
    <mergeCell ref="B57:E57"/>
    <mergeCell ref="B54:E54"/>
    <mergeCell ref="B56:E56"/>
    <mergeCell ref="B55:E55"/>
    <mergeCell ref="B52:E52"/>
    <mergeCell ref="B53:E53"/>
    <mergeCell ref="AP11:AP13"/>
    <mergeCell ref="AQ11:AQ13"/>
    <mergeCell ref="AR11:AR13"/>
    <mergeCell ref="F15:S15"/>
    <mergeCell ref="U15:Z15"/>
    <mergeCell ref="C61:C62"/>
    <mergeCell ref="B61:B62"/>
    <mergeCell ref="B91:F91"/>
    <mergeCell ref="B89:H89"/>
    <mergeCell ref="B90:F90"/>
    <mergeCell ref="D61:D62"/>
    <mergeCell ref="E61:E62"/>
    <mergeCell ref="F16:H16"/>
    <mergeCell ref="J16:N16"/>
    <mergeCell ref="O16:S16"/>
    <mergeCell ref="Z61:Z62"/>
  </mergeCells>
  <conditionalFormatting sqref="W22">
    <cfRule type="expression" dxfId="3" priority="3" stopIfTrue="1">
      <formula>EXACT($Z22,2)</formula>
    </cfRule>
  </conditionalFormatting>
  <conditionalFormatting sqref="W22">
    <cfRule type="expression" dxfId="2" priority="4" stopIfTrue="1">
      <formula>EXACT($Z22,2)</formula>
    </cfRule>
  </conditionalFormatting>
  <conditionalFormatting sqref="F63:Y82">
    <cfRule type="cellIs" dxfId="1" priority="2" operator="equal">
      <formula>0</formula>
    </cfRule>
  </conditionalFormatting>
  <conditionalFormatting sqref="Z63:Z82">
    <cfRule type="cellIs" dxfId="0" priority="1" operator="equal">
      <formula>0</formula>
    </cfRule>
  </conditionalFormatting>
  <dataValidations count="5">
    <dataValidation type="decimal" operator="lessThanOrEqual" allowBlank="1" showInputMessage="1" showErrorMessage="1" errorTitle="Non-negative input" error="Adjustment needs to have negative value" prompt="Please enter a negative value, if relevant" sqref="F9:L9 F102:L106 T107:U110">
      <formula1>0</formula1>
    </dataValidation>
    <dataValidation type="list" allowBlank="1" showInputMessage="1" showErrorMessage="1" sqref="D18:D48">
      <formula1>$AD$14:$AD$20</formula1>
    </dataValidation>
    <dataValidation type="list" allowBlank="1" showInputMessage="1" showErrorMessage="1" sqref="U18:U48">
      <formula1>$AT$14:$AT$16</formula1>
    </dataValidation>
    <dataValidation type="list" showInputMessage="1" showErrorMessage="1" sqref="O18:O48 M18:M48 J18:J48">
      <formula1>$AI$13:$AI$14</formula1>
    </dataValidation>
    <dataValidation type="list" allowBlank="1" showInputMessage="1" showErrorMessage="1" sqref="W18:W48">
      <formula1>IF(V18=1,$AW$14:$AW$20,$AW$21)</formula1>
    </dataValidation>
  </dataValidations>
  <pageMargins left="0.7" right="0.7" top="0.75" bottom="0.75" header="0.3" footer="0.3"/>
  <pageSetup paperSize="9" orientation="portrait" r:id="rId1"/>
  <ignoredErrors>
    <ignoredError sqref="Z2 P48:R48 S48 H91:H93" unlockedFormula="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autoPageBreaks="0"/>
  </sheetPr>
  <dimension ref="A1:AG127"/>
  <sheetViews>
    <sheetView zoomScaleNormal="100" workbookViewId="0"/>
  </sheetViews>
  <sheetFormatPr defaultColWidth="9.140625" defaultRowHeight="15" x14ac:dyDescent="0.25"/>
  <cols>
    <col min="1" max="1" width="9.140625" style="5"/>
    <col min="2" max="2" width="40.7109375" style="5" customWidth="1"/>
    <col min="3" max="31" width="14.28515625" style="5" customWidth="1"/>
    <col min="32" max="16384" width="9.140625" style="5"/>
  </cols>
  <sheetData>
    <row r="1" spans="1:33" x14ac:dyDescent="0.25">
      <c r="AG1" s="201" t="s">
        <v>0</v>
      </c>
    </row>
    <row r="2" spans="1:33" x14ac:dyDescent="0.25">
      <c r="B2" s="99" t="s">
        <v>131</v>
      </c>
      <c r="C2" s="24"/>
      <c r="D2" s="24"/>
      <c r="E2" s="24"/>
      <c r="F2" s="24"/>
      <c r="G2" s="24"/>
      <c r="H2" s="24"/>
      <c r="I2" s="24"/>
      <c r="J2" s="24"/>
      <c r="K2" s="24"/>
      <c r="L2" s="24"/>
      <c r="M2" s="24"/>
      <c r="N2" s="24"/>
      <c r="O2" s="24"/>
      <c r="P2" s="24"/>
      <c r="Q2" s="100"/>
      <c r="Y2" s="743" t="str">
        <f>HYPERLINK("#'Index'!a1","&gt;&gt; go to Index")</f>
        <v>&gt;&gt; go to Index</v>
      </c>
      <c r="Z2" s="743"/>
      <c r="AG2" s="201" t="s">
        <v>0</v>
      </c>
    </row>
    <row r="3" spans="1:33" x14ac:dyDescent="0.25">
      <c r="B3" s="63"/>
      <c r="C3" s="510" t="s">
        <v>387</v>
      </c>
      <c r="D3" s="419" t="s">
        <v>495</v>
      </c>
      <c r="E3" s="425"/>
      <c r="F3" s="425"/>
      <c r="G3" s="425"/>
      <c r="H3" s="506"/>
      <c r="I3" s="514" t="s">
        <v>493</v>
      </c>
      <c r="J3" s="423" t="s">
        <v>494</v>
      </c>
      <c r="K3" s="425"/>
      <c r="L3" s="425"/>
      <c r="M3" s="425"/>
      <c r="N3" s="506"/>
      <c r="O3" s="507" t="s">
        <v>388</v>
      </c>
      <c r="P3" s="74" t="s">
        <v>26</v>
      </c>
      <c r="Q3" s="160" t="s">
        <v>25</v>
      </c>
      <c r="AG3" s="201" t="s">
        <v>0</v>
      </c>
    </row>
    <row r="4" spans="1:33" x14ac:dyDescent="0.25">
      <c r="B4" s="64"/>
      <c r="C4" s="64"/>
      <c r="D4" s="512" t="s">
        <v>225</v>
      </c>
      <c r="E4" s="505" t="s">
        <v>226</v>
      </c>
      <c r="F4" s="505" t="s">
        <v>496</v>
      </c>
      <c r="G4" s="505" t="s">
        <v>497</v>
      </c>
      <c r="H4" s="508" t="s">
        <v>490</v>
      </c>
      <c r="I4" s="145"/>
      <c r="J4" s="512" t="s">
        <v>225</v>
      </c>
      <c r="K4" s="505" t="s">
        <v>226</v>
      </c>
      <c r="L4" s="505" t="s">
        <v>496</v>
      </c>
      <c r="M4" s="505" t="s">
        <v>497</v>
      </c>
      <c r="N4" s="508" t="s">
        <v>490</v>
      </c>
      <c r="O4" s="515"/>
      <c r="P4" s="64"/>
      <c r="Q4" s="52"/>
      <c r="AG4" s="201" t="s">
        <v>0</v>
      </c>
    </row>
    <row r="5" spans="1:33" x14ac:dyDescent="0.25">
      <c r="B5" s="86"/>
      <c r="C5" s="64"/>
      <c r="D5" s="512" t="s">
        <v>86</v>
      </c>
      <c r="E5" s="505" t="s">
        <v>86</v>
      </c>
      <c r="F5" s="505" t="s">
        <v>489</v>
      </c>
      <c r="G5" s="505"/>
      <c r="H5" s="508" t="s">
        <v>87</v>
      </c>
      <c r="I5" s="145"/>
      <c r="J5" s="512" t="s">
        <v>86</v>
      </c>
      <c r="K5" s="505" t="s">
        <v>86</v>
      </c>
      <c r="L5" s="505" t="s">
        <v>489</v>
      </c>
      <c r="M5" s="505"/>
      <c r="N5" s="508" t="s">
        <v>87</v>
      </c>
      <c r="O5" s="516"/>
      <c r="P5" s="86"/>
      <c r="Q5" s="61"/>
      <c r="AG5" s="201" t="s">
        <v>0</v>
      </c>
    </row>
    <row r="6" spans="1:33" x14ac:dyDescent="0.25">
      <c r="A6" s="548" t="s">
        <v>539</v>
      </c>
      <c r="B6" s="288" t="s">
        <v>392</v>
      </c>
      <c r="C6" s="635">
        <f t="array" ref="C6">IF('Overview SRA'!$G$18="No",SQRT(MMULT(MMULT(TRANSPOSE(C7:C13),T7:Z13),C7:C13)),"-")</f>
        <v>0</v>
      </c>
      <c r="D6" s="633">
        <f t="array" ref="D6">IF('Overview SRA'!$G$18="No",SQRT(MMULT(MMULT(TRANSPOSE(D7:D13),T7:Z13),D7:D13)),"-")</f>
        <v>0</v>
      </c>
      <c r="E6" s="633">
        <f t="array" ref="E6">IF('Overview SRA'!$G$18="No",SQRT(MMULT(MMULT(TRANSPOSE(E7:E13),T7:Z13),E7:E13)),"-")</f>
        <v>0</v>
      </c>
      <c r="F6" s="633">
        <f t="array" ref="F6">IF('Overview SRA'!$G$18="No",SQRT(MMULT(MMULT(TRANSPOSE(F7:F13),T7:Z13),F7:F13)),"-")</f>
        <v>0</v>
      </c>
      <c r="G6" s="633">
        <f t="array" ref="G6">IF('Overview SRA'!$G$18="No",SQRT(MMULT(MMULT(TRANSPOSE(G7:G13),T7:Z13),G7:G13)),"-")</f>
        <v>0</v>
      </c>
      <c r="H6" s="633">
        <f t="array" ref="H6">IF('Overview SRA'!$G$18="No",SQRT(MMULT(MMULT(TRANSPOSE(H7:H13),T7:Z13),H7:H13)),"-")</f>
        <v>0</v>
      </c>
      <c r="I6" s="635">
        <f>IF('Overview SRA'!$G$18="No",SUM(C6)-SUM(O6),"-")</f>
        <v>0</v>
      </c>
      <c r="J6" s="633">
        <f>IF('Overview SRA'!$G$18="No",SUM(D6)-SUM($O6),"-")</f>
        <v>0</v>
      </c>
      <c r="K6" s="633">
        <f>IF('Overview SRA'!$G$18="No",SUM(E6)-SUM($O6),"-")</f>
        <v>0</v>
      </c>
      <c r="L6" s="633">
        <f>IF('Overview SRA'!$G$18="No",SUM(F6)-SUM($O6),"-")</f>
        <v>0</v>
      </c>
      <c r="M6" s="633">
        <f>IF('Overview SRA'!$G$18="No",SUM(G6)-SUM($O6),"-")</f>
        <v>0</v>
      </c>
      <c r="N6" s="630">
        <f>IF('Overview SRA'!$G$18="No",SUM(H6)-SUM($O6),"-")</f>
        <v>0</v>
      </c>
      <c r="O6" s="649">
        <f t="array" ref="O6">SQRT(MMULT(MMULT(TRANSPOSE(O7:O13),T7:Z13),O7:O13))</f>
        <v>0</v>
      </c>
      <c r="P6" s="660">
        <f>SUM(O6)-SUM(Q6)</f>
        <v>0</v>
      </c>
      <c r="Q6" s="662">
        <f>SUM(O7:O13)</f>
        <v>0</v>
      </c>
      <c r="S6" s="150"/>
      <c r="T6" s="153" t="s">
        <v>57</v>
      </c>
      <c r="U6" s="153" t="s">
        <v>58</v>
      </c>
      <c r="V6" s="153" t="s">
        <v>59</v>
      </c>
      <c r="W6" s="153" t="s">
        <v>352</v>
      </c>
      <c r="X6" s="153" t="s">
        <v>40</v>
      </c>
      <c r="Y6" s="153" t="s">
        <v>39</v>
      </c>
      <c r="Z6" s="154" t="s">
        <v>41</v>
      </c>
      <c r="AG6" s="201" t="s">
        <v>0</v>
      </c>
    </row>
    <row r="7" spans="1:33" x14ac:dyDescent="0.25">
      <c r="B7" s="144" t="s">
        <v>219</v>
      </c>
      <c r="C7" s="620">
        <f>IF('Overview SRA'!$G$18="No",SUM(C23),"-")</f>
        <v>0</v>
      </c>
      <c r="D7" s="644">
        <f>IF('Overview SRA'!$G$18="No",SUM(D23),"-")</f>
        <v>0</v>
      </c>
      <c r="E7" s="644">
        <f>IF('Overview SRA'!$G$18="No",SUM(E23),"-")</f>
        <v>0</v>
      </c>
      <c r="F7" s="644">
        <f>IF('Overview SRA'!$G$18="No",SUM(F23),"-")</f>
        <v>0</v>
      </c>
      <c r="G7" s="644">
        <f>IF('Overview SRA'!$G$18="No",SUM(G23),"-")</f>
        <v>0</v>
      </c>
      <c r="H7" s="644">
        <f>IF('Overview SRA'!$G$18="No",SUM(H23),"-")</f>
        <v>0</v>
      </c>
      <c r="I7" s="620">
        <f>IF('Overview SRA'!$G$18="No",SUM(C7)-SUM(O7),"-")</f>
        <v>0</v>
      </c>
      <c r="J7" s="656">
        <f>IF('Overview SRA'!$G$18="No",SUM(D7)-SUM($O7),"-")</f>
        <v>0</v>
      </c>
      <c r="K7" s="656">
        <f>IF('Overview SRA'!$G$18="No",SUM(E7)-SUM($O7),"-")</f>
        <v>0</v>
      </c>
      <c r="L7" s="656">
        <f>IF('Overview SRA'!$G$18="No",SUM(F7)-SUM($O7),"-")</f>
        <v>0</v>
      </c>
      <c r="M7" s="656">
        <f>IF('Overview SRA'!$G$18="No",SUM(G7)-SUM($O7),"-")</f>
        <v>0</v>
      </c>
      <c r="N7" s="657">
        <f>IF('Overview SRA'!$G$18="No",SUM(H7)-SUM($O7),"-")</f>
        <v>0</v>
      </c>
      <c r="O7" s="644">
        <f>SUM(C22)</f>
        <v>0</v>
      </c>
      <c r="P7" s="25"/>
      <c r="Q7" s="27"/>
      <c r="S7" s="151" t="s">
        <v>57</v>
      </c>
      <c r="T7" s="305">
        <v>1</v>
      </c>
      <c r="U7" s="305">
        <v>-0.25</v>
      </c>
      <c r="V7" s="305">
        <v>0.25</v>
      </c>
      <c r="W7" s="305">
        <v>0.25</v>
      </c>
      <c r="X7" s="305">
        <v>0</v>
      </c>
      <c r="Y7" s="305">
        <v>0</v>
      </c>
      <c r="Z7" s="306">
        <v>0.25</v>
      </c>
      <c r="AG7" s="201" t="s">
        <v>0</v>
      </c>
    </row>
    <row r="8" spans="1:33" x14ac:dyDescent="0.25">
      <c r="B8" s="145" t="s">
        <v>218</v>
      </c>
      <c r="C8" s="620">
        <f>IF('Overview SRA'!$G$18="No",SUM(C25),"-")</f>
        <v>0</v>
      </c>
      <c r="D8" s="644">
        <f>IF('Overview SRA'!$G$18="No",SUM(D25),"-")</f>
        <v>0</v>
      </c>
      <c r="E8" s="644">
        <f>IF('Overview SRA'!$G$18="No",SUM(E25),"-")</f>
        <v>0</v>
      </c>
      <c r="F8" s="644">
        <f>IF('Overview SRA'!$G$18="No",SUM(F25),"-")</f>
        <v>0</v>
      </c>
      <c r="G8" s="644">
        <f>IF('Overview SRA'!$G$18="No",SUM(G25),"-")</f>
        <v>0</v>
      </c>
      <c r="H8" s="644">
        <f>IF('Overview SRA'!$G$18="No",SUM(H25),"-")</f>
        <v>0</v>
      </c>
      <c r="I8" s="620">
        <f>IF('Overview SRA'!$G$18="No",SUM(C8)-SUM(O8),"-")</f>
        <v>0</v>
      </c>
      <c r="J8" s="656">
        <f>IF('Overview SRA'!$G$18="No",SUM(D8)-SUM($O8),"-")</f>
        <v>0</v>
      </c>
      <c r="K8" s="656">
        <f>IF('Overview SRA'!$G$18="No",SUM(E8)-SUM($O8),"-")</f>
        <v>0</v>
      </c>
      <c r="L8" s="656">
        <f>IF('Overview SRA'!$G$18="No",SUM(F8)-SUM($O8),"-")</f>
        <v>0</v>
      </c>
      <c r="M8" s="656">
        <f>IF('Overview SRA'!$G$18="No",SUM(G8)-SUM($O8),"-")</f>
        <v>0</v>
      </c>
      <c r="N8" s="657">
        <f>IF('Overview SRA'!$G$18="No",SUM(H8)-SUM($O8),"-")</f>
        <v>0</v>
      </c>
      <c r="O8" s="644">
        <f>SUM(C24)</f>
        <v>0</v>
      </c>
      <c r="P8" s="62"/>
      <c r="Q8" s="32"/>
      <c r="S8" s="151" t="s">
        <v>58</v>
      </c>
      <c r="T8" s="305">
        <v>-0.25</v>
      </c>
      <c r="U8" s="305">
        <v>1</v>
      </c>
      <c r="V8" s="305">
        <v>0</v>
      </c>
      <c r="W8" s="305">
        <v>0.25</v>
      </c>
      <c r="X8" s="305">
        <v>0.25</v>
      </c>
      <c r="Y8" s="305">
        <v>0.25</v>
      </c>
      <c r="Z8" s="306">
        <v>0</v>
      </c>
      <c r="AG8" s="201" t="s">
        <v>0</v>
      </c>
    </row>
    <row r="9" spans="1:33" x14ac:dyDescent="0.25">
      <c r="B9" s="288" t="s">
        <v>345</v>
      </c>
      <c r="C9" s="620">
        <f>IF('Overview SRA'!$G$18="No",SUM(C27),"-")</f>
        <v>0</v>
      </c>
      <c r="D9" s="644">
        <f>IF('Overview SRA'!$G$18="No",SUM(D27),"-")</f>
        <v>0</v>
      </c>
      <c r="E9" s="644">
        <f>IF('Overview SRA'!$G$18="No",SUM(E27),"-")</f>
        <v>0</v>
      </c>
      <c r="F9" s="644">
        <f>IF('Overview SRA'!$G$18="No",SUM(F27),"-")</f>
        <v>0</v>
      </c>
      <c r="G9" s="644">
        <f>IF('Overview SRA'!$G$18="No",SUM(G27),"-")</f>
        <v>0</v>
      </c>
      <c r="H9" s="644">
        <f>IF('Overview SRA'!$G$18="No",SUM(H27),"-")</f>
        <v>0</v>
      </c>
      <c r="I9" s="620">
        <f>IF('Overview SRA'!$G$18="No",SUM(C9)-SUM(O9),"-")</f>
        <v>0</v>
      </c>
      <c r="J9" s="656">
        <f>IF('Overview SRA'!$G$18="No",SUM(D9)-SUM($O9),"-")</f>
        <v>0</v>
      </c>
      <c r="K9" s="656">
        <f>IF('Overview SRA'!$G$18="No",SUM(E9)-SUM($O9),"-")</f>
        <v>0</v>
      </c>
      <c r="L9" s="656">
        <f>IF('Overview SRA'!$G$18="No",SUM(F9)-SUM($O9),"-")</f>
        <v>0</v>
      </c>
      <c r="M9" s="656">
        <f>IF('Overview SRA'!$G$18="No",SUM(G9)-SUM($O9),"-")</f>
        <v>0</v>
      </c>
      <c r="N9" s="657">
        <f>IF('Overview SRA'!$G$18="No",SUM(H9)-SUM($O9),"-")</f>
        <v>0</v>
      </c>
      <c r="O9" s="644">
        <f>SUM(C26)</f>
        <v>0</v>
      </c>
      <c r="P9" s="62"/>
      <c r="Q9" s="32"/>
      <c r="S9" s="151" t="s">
        <v>59</v>
      </c>
      <c r="T9" s="305">
        <v>0.25</v>
      </c>
      <c r="U9" s="305">
        <v>0</v>
      </c>
      <c r="V9" s="305">
        <v>1</v>
      </c>
      <c r="W9" s="305">
        <v>0.5</v>
      </c>
      <c r="X9" s="305">
        <v>0</v>
      </c>
      <c r="Y9" s="305">
        <v>0</v>
      </c>
      <c r="Z9" s="306">
        <v>0.25</v>
      </c>
      <c r="AG9" s="201" t="s">
        <v>0</v>
      </c>
    </row>
    <row r="10" spans="1:33" x14ac:dyDescent="0.25">
      <c r="B10" s="288" t="s">
        <v>372</v>
      </c>
      <c r="C10" s="620">
        <f>IF('Overview SRA'!$G$18="No",SUM(C29),"-")</f>
        <v>0</v>
      </c>
      <c r="D10" s="644">
        <f>IF('Overview SRA'!$G$18="No",SUM(D29),"-")</f>
        <v>0</v>
      </c>
      <c r="E10" s="644">
        <f>IF('Overview SRA'!$G$18="No",SUM(E29),"-")</f>
        <v>0</v>
      </c>
      <c r="F10" s="644">
        <f>IF('Overview SRA'!$G$18="No",SUM(F29),"-")</f>
        <v>0</v>
      </c>
      <c r="G10" s="644">
        <f>IF('Overview SRA'!$G$18="No",SUM(G29),"-")</f>
        <v>0</v>
      </c>
      <c r="H10" s="644">
        <f>IF('Overview SRA'!$G$18="No",SUM(H29),"-")</f>
        <v>0</v>
      </c>
      <c r="I10" s="620">
        <f>IF('Overview SRA'!$G$18="No",SUM(C10)-SUM(O10),"-")</f>
        <v>0</v>
      </c>
      <c r="J10" s="656">
        <f>IF('Overview SRA'!$G$18="No",SUM(D10)-SUM($O10),"-")</f>
        <v>0</v>
      </c>
      <c r="K10" s="656">
        <f>IF('Overview SRA'!$G$18="No",SUM(E10)-SUM($O10),"-")</f>
        <v>0</v>
      </c>
      <c r="L10" s="656">
        <f>IF('Overview SRA'!$G$18="No",SUM(F10)-SUM($O10),"-")</f>
        <v>0</v>
      </c>
      <c r="M10" s="656">
        <f>IF('Overview SRA'!$G$18="No",SUM(G10)-SUM($O10),"-")</f>
        <v>0</v>
      </c>
      <c r="N10" s="657">
        <f>IF('Overview SRA'!$G$18="No",SUM(H10)-SUM($O10),"-")</f>
        <v>0</v>
      </c>
      <c r="O10" s="644">
        <f>SUM(C28)</f>
        <v>0</v>
      </c>
      <c r="P10" s="62"/>
      <c r="Q10" s="32"/>
      <c r="S10" s="151" t="s">
        <v>352</v>
      </c>
      <c r="T10" s="305">
        <v>0.25</v>
      </c>
      <c r="U10" s="305">
        <v>0.25</v>
      </c>
      <c r="V10" s="305">
        <v>0.5</v>
      </c>
      <c r="W10" s="305">
        <v>1</v>
      </c>
      <c r="X10" s="305">
        <v>0.5</v>
      </c>
      <c r="Y10" s="305">
        <v>0.5</v>
      </c>
      <c r="Z10" s="306">
        <v>0.25</v>
      </c>
      <c r="AG10" s="201" t="s">
        <v>0</v>
      </c>
    </row>
    <row r="11" spans="1:33" x14ac:dyDescent="0.25">
      <c r="B11" s="145" t="s">
        <v>221</v>
      </c>
      <c r="C11" s="620">
        <f>IF('Overview SRA'!$G$18="No",SUM(C31),"-")</f>
        <v>0</v>
      </c>
      <c r="D11" s="644">
        <f>IF('Overview SRA'!$G$18="No",SUM(D31),"-")</f>
        <v>0</v>
      </c>
      <c r="E11" s="644">
        <f>IF('Overview SRA'!$G$18="No",SUM(E31),"-")</f>
        <v>0</v>
      </c>
      <c r="F11" s="644">
        <f>IF('Overview SRA'!$G$18="No",SUM(F31),"-")</f>
        <v>0</v>
      </c>
      <c r="G11" s="644">
        <f>IF('Overview SRA'!$G$18="No",SUM(G31),"-")</f>
        <v>0</v>
      </c>
      <c r="H11" s="644">
        <f>IF('Overview SRA'!$G$18="No",SUM(H31),"-")</f>
        <v>0</v>
      </c>
      <c r="I11" s="620">
        <f>IF('Overview SRA'!$G$18="No",SUM(C11)-SUM(O11),"-")</f>
        <v>0</v>
      </c>
      <c r="J11" s="656">
        <f>IF('Overview SRA'!$G$18="No",SUM(D11)-SUM($O11),"-")</f>
        <v>0</v>
      </c>
      <c r="K11" s="656">
        <f>IF('Overview SRA'!$G$18="No",SUM(E11)-SUM($O11),"-")</f>
        <v>0</v>
      </c>
      <c r="L11" s="656">
        <f>IF('Overview SRA'!$G$18="No",SUM(F11)-SUM($O11),"-")</f>
        <v>0</v>
      </c>
      <c r="M11" s="656">
        <f>IF('Overview SRA'!$G$18="No",SUM(G11)-SUM($O11),"-")</f>
        <v>0</v>
      </c>
      <c r="N11" s="657">
        <f>IF('Overview SRA'!$G$18="No",SUM(H11)-SUM($O11),"-")</f>
        <v>0</v>
      </c>
      <c r="O11" s="644">
        <f>SUM(C30)</f>
        <v>0</v>
      </c>
      <c r="P11" s="62"/>
      <c r="Q11" s="32"/>
      <c r="S11" s="151" t="s">
        <v>40</v>
      </c>
      <c r="T11" s="305">
        <v>0</v>
      </c>
      <c r="U11" s="305">
        <v>0.25</v>
      </c>
      <c r="V11" s="305">
        <v>0</v>
      </c>
      <c r="W11" s="305">
        <v>0.5</v>
      </c>
      <c r="X11" s="305">
        <v>1</v>
      </c>
      <c r="Y11" s="305">
        <v>0</v>
      </c>
      <c r="Z11" s="306">
        <v>0</v>
      </c>
      <c r="AG11" s="201" t="s">
        <v>0</v>
      </c>
    </row>
    <row r="12" spans="1:33" x14ac:dyDescent="0.25">
      <c r="B12" s="145" t="s">
        <v>220</v>
      </c>
      <c r="C12" s="620">
        <f>IF('Overview SRA'!$G$18="No",SUM(C33),"-")</f>
        <v>0</v>
      </c>
      <c r="D12" s="644">
        <f>IF('Overview SRA'!$G$18="No",SUM(D33),"-")</f>
        <v>0</v>
      </c>
      <c r="E12" s="644">
        <f>IF('Overview SRA'!$G$18="No",SUM(E33),"-")</f>
        <v>0</v>
      </c>
      <c r="F12" s="644">
        <f>IF('Overview SRA'!$G$18="No",SUM(F33),"-")</f>
        <v>0</v>
      </c>
      <c r="G12" s="644">
        <f>IF('Overview SRA'!$G$18="No",SUM(G33),"-")</f>
        <v>0</v>
      </c>
      <c r="H12" s="644">
        <f>IF('Overview SRA'!$G$18="No",SUM(H33),"-")</f>
        <v>0</v>
      </c>
      <c r="I12" s="620">
        <f>IF('Overview SRA'!$G$18="No",SUM(C12)-SUM(O12),"-")</f>
        <v>0</v>
      </c>
      <c r="J12" s="656">
        <f>IF('Overview SRA'!$G$18="No",SUM(D12)-SUM($O12),"-")</f>
        <v>0</v>
      </c>
      <c r="K12" s="656">
        <f>IF('Overview SRA'!$G$18="No",SUM(E12)-SUM($O12),"-")</f>
        <v>0</v>
      </c>
      <c r="L12" s="656">
        <f>IF('Overview SRA'!$G$18="No",SUM(F12)-SUM($O12),"-")</f>
        <v>0</v>
      </c>
      <c r="M12" s="656">
        <f>IF('Overview SRA'!$G$18="No",SUM(G12)-SUM($O12),"-")</f>
        <v>0</v>
      </c>
      <c r="N12" s="657">
        <f>IF('Overview SRA'!$G$18="No",SUM(H12)-SUM($O12),"-")</f>
        <v>0</v>
      </c>
      <c r="O12" s="644">
        <f>SUM(C32)</f>
        <v>0</v>
      </c>
      <c r="P12" s="62"/>
      <c r="Q12" s="32"/>
      <c r="S12" s="151" t="s">
        <v>39</v>
      </c>
      <c r="T12" s="305">
        <v>0</v>
      </c>
      <c r="U12" s="305">
        <v>0.25</v>
      </c>
      <c r="V12" s="305">
        <v>0</v>
      </c>
      <c r="W12" s="305">
        <v>0.5</v>
      </c>
      <c r="X12" s="305">
        <v>0</v>
      </c>
      <c r="Y12" s="305">
        <v>1</v>
      </c>
      <c r="Z12" s="306">
        <v>0.25</v>
      </c>
      <c r="AG12" s="201" t="s">
        <v>0</v>
      </c>
    </row>
    <row r="13" spans="1:33" x14ac:dyDescent="0.25">
      <c r="B13" s="57" t="s">
        <v>222</v>
      </c>
      <c r="C13" s="626">
        <f>IF('Overview SRA'!$G$18="No",SUM(C42),"-")</f>
        <v>0</v>
      </c>
      <c r="D13" s="645">
        <f>IF('Overview SRA'!$G$18="No",SUM(D42),"-")</f>
        <v>0</v>
      </c>
      <c r="E13" s="645">
        <f>IF('Overview SRA'!$G$18="No",SUM(E42),"-")</f>
        <v>0</v>
      </c>
      <c r="F13" s="645">
        <f>IF('Overview SRA'!$G$18="No",SUM(F42),"-")</f>
        <v>0</v>
      </c>
      <c r="G13" s="645">
        <f>IF('Overview SRA'!$G$18="No",SUM(G42),"-")</f>
        <v>0</v>
      </c>
      <c r="H13" s="645">
        <f>IF('Overview SRA'!$G$18="No",SUM(H42),"-")</f>
        <v>0</v>
      </c>
      <c r="I13" s="626">
        <f>IF('Overview SRA'!$G$18="No",SUM(C13)-SUM(O13),"-")</f>
        <v>0</v>
      </c>
      <c r="J13" s="661">
        <f>IF('Overview SRA'!$G$18="No",SUM(D13)-SUM($O13),"-")</f>
        <v>0</v>
      </c>
      <c r="K13" s="661">
        <f>IF('Overview SRA'!$G$18="No",SUM(E13)-SUM($O13),"-")</f>
        <v>0</v>
      </c>
      <c r="L13" s="661">
        <f>IF('Overview SRA'!$G$18="No",SUM(F13)-SUM($O13),"-")</f>
        <v>0</v>
      </c>
      <c r="M13" s="661">
        <f>IF('Overview SRA'!$G$18="No",SUM(G13)-SUM($O13),"-")</f>
        <v>0</v>
      </c>
      <c r="N13" s="649">
        <f>IF('Overview SRA'!$G$18="No",SUM(H13)-SUM($O13),"-")</f>
        <v>0</v>
      </c>
      <c r="O13" s="645">
        <f>SUM(C41)</f>
        <v>0</v>
      </c>
      <c r="P13" s="28"/>
      <c r="Q13" s="30"/>
      <c r="S13" s="152" t="s">
        <v>41</v>
      </c>
      <c r="T13" s="307">
        <v>0.25</v>
      </c>
      <c r="U13" s="307">
        <v>0</v>
      </c>
      <c r="V13" s="307">
        <v>0.25</v>
      </c>
      <c r="W13" s="307">
        <v>0.25</v>
      </c>
      <c r="X13" s="307">
        <v>0</v>
      </c>
      <c r="Y13" s="307">
        <v>0.25</v>
      </c>
      <c r="Z13" s="308">
        <v>1</v>
      </c>
      <c r="AG13" s="201" t="s">
        <v>0</v>
      </c>
    </row>
    <row r="14" spans="1:33" x14ac:dyDescent="0.25">
      <c r="AG14" s="201" t="s">
        <v>0</v>
      </c>
    </row>
    <row r="15" spans="1:33" x14ac:dyDescent="0.25">
      <c r="A15" s="200"/>
      <c r="B15" s="200"/>
      <c r="C15" s="200"/>
      <c r="D15" s="200"/>
      <c r="E15" s="200"/>
      <c r="F15" s="135"/>
      <c r="G15" s="135"/>
      <c r="H15" s="135"/>
      <c r="I15" s="135"/>
      <c r="J15" s="135"/>
      <c r="K15" s="135"/>
      <c r="L15" s="135"/>
      <c r="M15" s="136"/>
      <c r="N15" s="136"/>
      <c r="O15" s="136"/>
      <c r="P15" s="136"/>
      <c r="Q15" s="136"/>
      <c r="R15" s="136"/>
      <c r="S15" s="136"/>
      <c r="T15" s="136"/>
      <c r="U15" s="136"/>
      <c r="V15" s="136"/>
      <c r="W15" s="136"/>
      <c r="X15" s="136"/>
      <c r="Y15" s="136"/>
      <c r="Z15" s="136"/>
      <c r="AG15" s="201" t="s">
        <v>0</v>
      </c>
    </row>
    <row r="16" spans="1:33" x14ac:dyDescent="0.25">
      <c r="A16" s="200"/>
      <c r="B16" s="200"/>
      <c r="C16" s="200"/>
      <c r="D16" s="200"/>
      <c r="E16" s="200"/>
      <c r="F16" s="135"/>
      <c r="G16" s="135"/>
      <c r="H16" s="135"/>
      <c r="I16" s="135"/>
      <c r="J16" s="135"/>
      <c r="K16" s="135"/>
      <c r="L16" s="135"/>
      <c r="M16" s="136"/>
      <c r="N16" s="136"/>
      <c r="O16" s="136"/>
      <c r="P16" s="136"/>
      <c r="Q16" s="136"/>
      <c r="R16" s="136"/>
      <c r="S16" s="136"/>
      <c r="T16" s="136"/>
      <c r="U16" s="136"/>
      <c r="V16" s="136"/>
      <c r="W16" s="136"/>
      <c r="X16" s="136"/>
      <c r="Y16" s="136"/>
      <c r="Z16" s="136"/>
      <c r="AG16" s="201" t="s">
        <v>0</v>
      </c>
    </row>
    <row r="17" spans="1:33" x14ac:dyDescent="0.25">
      <c r="B17" s="155"/>
      <c r="C17" s="475" t="s">
        <v>492</v>
      </c>
      <c r="D17" s="494"/>
      <c r="E17" s="494"/>
      <c r="F17" s="494"/>
      <c r="G17" s="494"/>
      <c r="H17" s="494"/>
      <c r="I17" s="133"/>
      <c r="J17" s="133" t="s">
        <v>68</v>
      </c>
      <c r="K17" s="133"/>
      <c r="L17" s="133" t="s">
        <v>223</v>
      </c>
      <c r="M17" s="133"/>
      <c r="N17" s="475"/>
      <c r="O17" s="475"/>
      <c r="P17" s="475"/>
      <c r="Q17" s="475"/>
      <c r="R17" s="475"/>
      <c r="S17" s="475"/>
      <c r="T17" s="475"/>
      <c r="U17" s="475"/>
      <c r="V17" s="475" t="s">
        <v>224</v>
      </c>
      <c r="W17" s="475"/>
      <c r="X17" s="475"/>
      <c r="Y17" s="475"/>
      <c r="Z17" s="475"/>
      <c r="AA17" s="475"/>
      <c r="AB17" s="475"/>
      <c r="AC17" s="475"/>
      <c r="AD17" s="475"/>
      <c r="AE17" s="476"/>
      <c r="AG17" s="201" t="s">
        <v>0</v>
      </c>
    </row>
    <row r="18" spans="1:33" ht="15" customHeight="1" x14ac:dyDescent="0.25">
      <c r="B18" s="134"/>
      <c r="C18" s="180" t="s">
        <v>491</v>
      </c>
      <c r="D18" s="497" t="s">
        <v>486</v>
      </c>
      <c r="E18" s="498"/>
      <c r="F18" s="498"/>
      <c r="G18" s="498"/>
      <c r="H18" s="498"/>
      <c r="I18" s="33"/>
      <c r="J18" s="74" t="s">
        <v>69</v>
      </c>
      <c r="K18" s="74" t="s">
        <v>98</v>
      </c>
      <c r="L18" s="754" t="s">
        <v>82</v>
      </c>
      <c r="M18" s="755"/>
      <c r="N18" s="158" t="s">
        <v>65</v>
      </c>
      <c r="O18" s="159" t="s">
        <v>72</v>
      </c>
      <c r="P18" s="159" t="s">
        <v>75</v>
      </c>
      <c r="Q18" s="159" t="s">
        <v>80</v>
      </c>
      <c r="R18" s="159" t="s">
        <v>78</v>
      </c>
      <c r="S18" s="160" t="s">
        <v>8</v>
      </c>
      <c r="T18" s="74" t="s">
        <v>83</v>
      </c>
      <c r="U18" s="33"/>
      <c r="V18" s="74" t="s">
        <v>69</v>
      </c>
      <c r="W18" s="74" t="s">
        <v>14</v>
      </c>
      <c r="X18" s="480" t="s">
        <v>105</v>
      </c>
      <c r="Y18" s="483"/>
      <c r="Z18" s="483"/>
      <c r="AA18" s="483"/>
      <c r="AB18" s="484"/>
      <c r="AC18" s="74" t="s">
        <v>92</v>
      </c>
      <c r="AD18" s="159" t="s">
        <v>93</v>
      </c>
      <c r="AE18" s="160" t="s">
        <v>94</v>
      </c>
      <c r="AG18" s="201" t="s">
        <v>0</v>
      </c>
    </row>
    <row r="19" spans="1:33" x14ac:dyDescent="0.25">
      <c r="B19" s="137"/>
      <c r="C19" s="180" t="s">
        <v>393</v>
      </c>
      <c r="D19" s="499" t="s">
        <v>487</v>
      </c>
      <c r="E19" s="500" t="s">
        <v>226</v>
      </c>
      <c r="F19" s="500" t="s">
        <v>488</v>
      </c>
      <c r="G19" s="500" t="s">
        <v>65</v>
      </c>
      <c r="H19" s="500" t="s">
        <v>490</v>
      </c>
      <c r="I19" s="130"/>
      <c r="J19" s="75" t="s">
        <v>70</v>
      </c>
      <c r="K19" s="157" t="s">
        <v>99</v>
      </c>
      <c r="L19" s="161" t="s">
        <v>62</v>
      </c>
      <c r="M19" s="162" t="s">
        <v>64</v>
      </c>
      <c r="N19" s="163" t="s">
        <v>66</v>
      </c>
      <c r="O19" s="164" t="s">
        <v>73</v>
      </c>
      <c r="P19" s="164" t="s">
        <v>76</v>
      </c>
      <c r="Q19" s="164" t="s">
        <v>81</v>
      </c>
      <c r="R19" s="164" t="s">
        <v>79</v>
      </c>
      <c r="S19" s="165"/>
      <c r="T19" s="75" t="s">
        <v>85</v>
      </c>
      <c r="U19" s="130"/>
      <c r="V19" s="75" t="s">
        <v>70</v>
      </c>
      <c r="W19" s="75"/>
      <c r="X19" s="161" t="s">
        <v>84</v>
      </c>
      <c r="Y19" s="172" t="s">
        <v>225</v>
      </c>
      <c r="Z19" s="172" t="s">
        <v>226</v>
      </c>
      <c r="AA19" s="172" t="s">
        <v>97</v>
      </c>
      <c r="AB19" s="162" t="s">
        <v>89</v>
      </c>
      <c r="AC19" s="75" t="s">
        <v>71</v>
      </c>
      <c r="AD19" s="164" t="s">
        <v>71</v>
      </c>
      <c r="AE19" s="165" t="s">
        <v>71</v>
      </c>
      <c r="AG19" s="201" t="s">
        <v>0</v>
      </c>
    </row>
    <row r="20" spans="1:33" x14ac:dyDescent="0.25">
      <c r="B20" s="137"/>
      <c r="C20" s="75"/>
      <c r="D20" s="499" t="s">
        <v>86</v>
      </c>
      <c r="E20" s="500" t="s">
        <v>86</v>
      </c>
      <c r="F20" s="500" t="s">
        <v>489</v>
      </c>
      <c r="G20" s="500" t="s">
        <v>66</v>
      </c>
      <c r="H20" s="500" t="s">
        <v>87</v>
      </c>
      <c r="I20" s="130"/>
      <c r="J20" s="75" t="s">
        <v>71</v>
      </c>
      <c r="K20" s="75" t="s">
        <v>100</v>
      </c>
      <c r="L20" s="161" t="s">
        <v>63</v>
      </c>
      <c r="M20" s="162" t="s">
        <v>63</v>
      </c>
      <c r="N20" s="163" t="s">
        <v>67</v>
      </c>
      <c r="O20" s="164" t="s">
        <v>74</v>
      </c>
      <c r="P20" s="164" t="s">
        <v>77</v>
      </c>
      <c r="Q20" s="164"/>
      <c r="R20" s="164"/>
      <c r="S20" s="165"/>
      <c r="T20" s="75"/>
      <c r="U20" s="130"/>
      <c r="V20" s="75" t="s">
        <v>71</v>
      </c>
      <c r="W20" s="75"/>
      <c r="X20" s="161" t="s">
        <v>86</v>
      </c>
      <c r="Y20" s="172" t="s">
        <v>86</v>
      </c>
      <c r="Z20" s="172" t="s">
        <v>86</v>
      </c>
      <c r="AA20" s="172" t="s">
        <v>88</v>
      </c>
      <c r="AB20" s="162" t="s">
        <v>90</v>
      </c>
      <c r="AC20" s="75"/>
      <c r="AD20" s="164"/>
      <c r="AE20" s="165"/>
      <c r="AG20" s="201" t="s">
        <v>0</v>
      </c>
    </row>
    <row r="21" spans="1:33" x14ac:dyDescent="0.25">
      <c r="B21" s="139"/>
      <c r="C21" s="76"/>
      <c r="D21" s="496"/>
      <c r="E21" s="495"/>
      <c r="F21" s="495"/>
      <c r="G21" s="500" t="s">
        <v>67</v>
      </c>
      <c r="H21" s="502"/>
      <c r="I21" s="130"/>
      <c r="J21" s="76"/>
      <c r="K21" s="76" t="s">
        <v>101</v>
      </c>
      <c r="L21" s="166"/>
      <c r="M21" s="55"/>
      <c r="N21" s="166"/>
      <c r="O21" s="167"/>
      <c r="P21" s="167"/>
      <c r="Q21" s="167"/>
      <c r="R21" s="167"/>
      <c r="S21" s="55"/>
      <c r="T21" s="76"/>
      <c r="U21" s="130"/>
      <c r="V21" s="76"/>
      <c r="W21" s="76"/>
      <c r="X21" s="173"/>
      <c r="Y21" s="174"/>
      <c r="Z21" s="174"/>
      <c r="AA21" s="174" t="s">
        <v>87</v>
      </c>
      <c r="AB21" s="175" t="s">
        <v>91</v>
      </c>
      <c r="AC21" s="76"/>
      <c r="AD21" s="167"/>
      <c r="AE21" s="55"/>
      <c r="AG21" s="201" t="s">
        <v>0</v>
      </c>
    </row>
    <row r="22" spans="1:33" x14ac:dyDescent="0.25">
      <c r="A22" s="577" t="s">
        <v>586</v>
      </c>
      <c r="B22" s="146" t="s">
        <v>219</v>
      </c>
      <c r="C22" s="628">
        <f t="shared" ref="C22:C31" si="0">MAX(SUM(J22)-SUM(V22),0)</f>
        <v>0</v>
      </c>
      <c r="D22" s="77"/>
      <c r="E22" s="78"/>
      <c r="F22" s="78"/>
      <c r="G22" s="78"/>
      <c r="H22" s="49"/>
      <c r="I22" s="32"/>
      <c r="J22" s="590">
        <f>SUM('Balance sheet'!$F$8)</f>
        <v>0</v>
      </c>
      <c r="K22" s="64" t="s">
        <v>95</v>
      </c>
      <c r="L22" s="458" t="s">
        <v>5</v>
      </c>
      <c r="M22" s="169" t="s">
        <v>5</v>
      </c>
      <c r="N22" s="168" t="s">
        <v>5</v>
      </c>
      <c r="O22" s="461" t="s">
        <v>5</v>
      </c>
      <c r="P22" s="170" t="s">
        <v>5</v>
      </c>
      <c r="Q22" s="170" t="s">
        <v>5</v>
      </c>
      <c r="R22" s="170" t="s">
        <v>5</v>
      </c>
      <c r="S22" s="463" t="s">
        <v>5</v>
      </c>
      <c r="T22" s="620">
        <f>SUM(L22:S22)</f>
        <v>0</v>
      </c>
      <c r="U22" s="130"/>
      <c r="V22" s="590">
        <f>IF(T22&gt;0,SUM(T22)-SUM(W22:AE22),J22)</f>
        <v>0</v>
      </c>
      <c r="W22" s="620">
        <f>SUM('Balance sheet'!$F$11)</f>
        <v>0</v>
      </c>
      <c r="X22" s="460" t="s">
        <v>5</v>
      </c>
      <c r="Y22" s="66" t="s">
        <v>5</v>
      </c>
      <c r="Z22" s="66" t="s">
        <v>5</v>
      </c>
      <c r="AA22" s="66" t="s">
        <v>5</v>
      </c>
      <c r="AB22" s="67" t="s">
        <v>5</v>
      </c>
      <c r="AC22" s="590">
        <f>SUM(Q22)</f>
        <v>0</v>
      </c>
      <c r="AD22" s="170" t="s">
        <v>5</v>
      </c>
      <c r="AE22" s="169" t="s">
        <v>5</v>
      </c>
      <c r="AG22" s="201" t="s">
        <v>0</v>
      </c>
    </row>
    <row r="23" spans="1:33" x14ac:dyDescent="0.25">
      <c r="B23" s="139"/>
      <c r="C23" s="664">
        <f t="shared" si="0"/>
        <v>0</v>
      </c>
      <c r="D23" s="664">
        <f>MAX(SUM(C22)+SUM(Y23)-SUM(Y22),0)</f>
        <v>0</v>
      </c>
      <c r="E23" s="645">
        <f>MAX(SUM(C22)+SUM(Z23)-SUM(Z22),0)</f>
        <v>0</v>
      </c>
      <c r="F23" s="645">
        <f>MAX(SUM(C22)+SUM(L22:M22)-SUM(L23:M23),0)</f>
        <v>0</v>
      </c>
      <c r="G23" s="645">
        <f>MAX(SUM(C22)+SUM(N22)-SUM(N23),0)</f>
        <v>0</v>
      </c>
      <c r="H23" s="637">
        <f>MAX(SUM(C22)+SUM(AA23:AB23)-SUM(AA22:AB22),0)</f>
        <v>0</v>
      </c>
      <c r="I23" s="32"/>
      <c r="J23" s="626">
        <f>SUM('Balance sheet'!$F$8)</f>
        <v>0</v>
      </c>
      <c r="K23" s="86" t="s">
        <v>96</v>
      </c>
      <c r="L23" s="459" t="s">
        <v>5</v>
      </c>
      <c r="M23" s="70" t="s">
        <v>5</v>
      </c>
      <c r="N23" s="68" t="s">
        <v>5</v>
      </c>
      <c r="O23" s="340" t="s">
        <v>5</v>
      </c>
      <c r="P23" s="69" t="s">
        <v>5</v>
      </c>
      <c r="Q23" s="69" t="s">
        <v>5</v>
      </c>
      <c r="R23" s="69" t="s">
        <v>5</v>
      </c>
      <c r="S23" s="464" t="s">
        <v>5</v>
      </c>
      <c r="T23" s="626">
        <f>SUM(L23:S23)</f>
        <v>0</v>
      </c>
      <c r="U23" s="130"/>
      <c r="V23" s="626">
        <f>IF(T23&gt;0,SUM(T23)-SUM(W23:AE23),J23)</f>
        <v>0</v>
      </c>
      <c r="W23" s="625">
        <f>SUM('Balance sheet'!$F$11)</f>
        <v>0</v>
      </c>
      <c r="X23" s="468" t="s">
        <v>5</v>
      </c>
      <c r="Y23" s="170" t="s">
        <v>5</v>
      </c>
      <c r="Z23" s="170" t="s">
        <v>5</v>
      </c>
      <c r="AA23" s="170" t="s">
        <v>5</v>
      </c>
      <c r="AB23" s="169" t="s">
        <v>5</v>
      </c>
      <c r="AC23" s="626">
        <f>SUM(Q23)</f>
        <v>0</v>
      </c>
      <c r="AD23" s="69" t="s">
        <v>5</v>
      </c>
      <c r="AE23" s="70" t="s">
        <v>5</v>
      </c>
      <c r="AG23" s="201" t="s">
        <v>0</v>
      </c>
    </row>
    <row r="24" spans="1:33" x14ac:dyDescent="0.25">
      <c r="A24" s="577" t="s">
        <v>585</v>
      </c>
      <c r="B24" s="134" t="s">
        <v>218</v>
      </c>
      <c r="C24" s="651">
        <f t="shared" si="0"/>
        <v>0</v>
      </c>
      <c r="D24" s="149"/>
      <c r="E24" s="81"/>
      <c r="F24" s="81"/>
      <c r="G24" s="81"/>
      <c r="H24" s="58"/>
      <c r="I24" s="32"/>
      <c r="J24" s="590">
        <f>SUM('Balance sheet'!$F$8)</f>
        <v>0</v>
      </c>
      <c r="K24" s="63" t="s">
        <v>95</v>
      </c>
      <c r="L24" s="460" t="s">
        <v>5</v>
      </c>
      <c r="M24" s="67" t="s">
        <v>5</v>
      </c>
      <c r="N24" s="460" t="s">
        <v>5</v>
      </c>
      <c r="O24" s="461" t="s">
        <v>5</v>
      </c>
      <c r="P24" s="170" t="s">
        <v>5</v>
      </c>
      <c r="Q24" s="170" t="s">
        <v>5</v>
      </c>
      <c r="R24" s="170" t="s">
        <v>5</v>
      </c>
      <c r="S24" s="463" t="s">
        <v>5</v>
      </c>
      <c r="T24" s="590">
        <f>SUM(L24:S24)</f>
        <v>0</v>
      </c>
      <c r="U24" s="130"/>
      <c r="V24" s="589">
        <f>IF(T24&gt;0,SUM(T24)-SUM(W24:AE24),J24)</f>
        <v>0</v>
      </c>
      <c r="W24" s="627">
        <f>SUM('Balance sheet'!$F$11)</f>
        <v>0</v>
      </c>
      <c r="X24" s="460" t="s">
        <v>5</v>
      </c>
      <c r="Y24" s="66" t="s">
        <v>5</v>
      </c>
      <c r="Z24" s="66" t="s">
        <v>5</v>
      </c>
      <c r="AA24" s="66" t="s">
        <v>5</v>
      </c>
      <c r="AB24" s="67" t="s">
        <v>5</v>
      </c>
      <c r="AC24" s="639">
        <f t="shared" ref="AC24:AC27" si="1">SUM(Q24)</f>
        <v>0</v>
      </c>
      <c r="AD24" s="66" t="s">
        <v>5</v>
      </c>
      <c r="AE24" s="67" t="s">
        <v>5</v>
      </c>
      <c r="AG24" s="201" t="s">
        <v>0</v>
      </c>
    </row>
    <row r="25" spans="1:33" x14ac:dyDescent="0.25">
      <c r="B25" s="139"/>
      <c r="C25" s="664">
        <f t="shared" si="0"/>
        <v>0</v>
      </c>
      <c r="D25" s="628">
        <f>MAX(SUM(C24)+SUM(Y25)-SUM(Y24),0)</f>
        <v>0</v>
      </c>
      <c r="E25" s="644">
        <f>MAX(SUM(C24)+SUM(Z25)-SUM(Z24),0)</f>
        <v>0</v>
      </c>
      <c r="F25" s="644">
        <f>MAX(SUM(C24)+SUM(L24:M24)-SUM(L25:M25),0)</f>
        <v>0</v>
      </c>
      <c r="G25" s="644">
        <f>MAX(SUM(C24)+SUM(N24)-SUM(N25),0)</f>
        <v>0</v>
      </c>
      <c r="H25" s="636">
        <f>MAX(SUM(C24)+SUM(AA25:AB25)-SUM(AA24:AB24),0)</f>
        <v>0</v>
      </c>
      <c r="I25" s="32"/>
      <c r="J25" s="626">
        <f>SUM('Balance sheet'!$F$8)</f>
        <v>0</v>
      </c>
      <c r="K25" s="86" t="s">
        <v>96</v>
      </c>
      <c r="L25" s="459" t="s">
        <v>5</v>
      </c>
      <c r="M25" s="70" t="s">
        <v>5</v>
      </c>
      <c r="N25" s="459" t="s">
        <v>5</v>
      </c>
      <c r="O25" s="340" t="s">
        <v>5</v>
      </c>
      <c r="P25" s="69" t="s">
        <v>5</v>
      </c>
      <c r="Q25" s="69" t="s">
        <v>5</v>
      </c>
      <c r="R25" s="69" t="s">
        <v>5</v>
      </c>
      <c r="S25" s="464" t="s">
        <v>5</v>
      </c>
      <c r="T25" s="626">
        <f>SUM(L25:S25)</f>
        <v>0</v>
      </c>
      <c r="U25" s="130"/>
      <c r="V25" s="625">
        <f>IF(T25&gt;0,SUM(T25)-SUM(W25:AE25),J25)</f>
        <v>0</v>
      </c>
      <c r="W25" s="664">
        <f>SUM('Balance sheet'!$F$11)</f>
        <v>0</v>
      </c>
      <c r="X25" s="466" t="s">
        <v>5</v>
      </c>
      <c r="Y25" s="69" t="s">
        <v>5</v>
      </c>
      <c r="Z25" s="69" t="s">
        <v>5</v>
      </c>
      <c r="AA25" s="69" t="s">
        <v>5</v>
      </c>
      <c r="AB25" s="70" t="s">
        <v>5</v>
      </c>
      <c r="AC25" s="637">
        <f t="shared" si="1"/>
        <v>0</v>
      </c>
      <c r="AD25" s="69" t="s">
        <v>5</v>
      </c>
      <c r="AE25" s="70" t="s">
        <v>5</v>
      </c>
      <c r="AG25" s="201" t="s">
        <v>0</v>
      </c>
    </row>
    <row r="26" spans="1:33" x14ac:dyDescent="0.25">
      <c r="A26" s="548" t="s">
        <v>587</v>
      </c>
      <c r="B26" s="134" t="s">
        <v>345</v>
      </c>
      <c r="C26" s="627">
        <f t="shared" si="0"/>
        <v>0</v>
      </c>
      <c r="D26" s="77"/>
      <c r="E26" s="78"/>
      <c r="F26" s="78"/>
      <c r="G26" s="78"/>
      <c r="H26" s="49"/>
      <c r="I26" s="32"/>
      <c r="J26" s="620">
        <f>SUM('Balance sheet'!$F$8)</f>
        <v>0</v>
      </c>
      <c r="K26" s="63" t="s">
        <v>95</v>
      </c>
      <c r="L26" s="460" t="s">
        <v>5</v>
      </c>
      <c r="M26" s="67" t="s">
        <v>5</v>
      </c>
      <c r="N26" s="65" t="s">
        <v>5</v>
      </c>
      <c r="O26" s="461" t="s">
        <v>5</v>
      </c>
      <c r="P26" s="66" t="s">
        <v>5</v>
      </c>
      <c r="Q26" s="66" t="s">
        <v>5</v>
      </c>
      <c r="R26" s="66" t="s">
        <v>5</v>
      </c>
      <c r="S26" s="463" t="s">
        <v>5</v>
      </c>
      <c r="T26" s="590">
        <f t="shared" ref="T26:T27" si="2">SUM(L26:S26)</f>
        <v>0</v>
      </c>
      <c r="U26" s="130"/>
      <c r="V26" s="590">
        <f t="shared" ref="V26:V27" si="3">IF(T26&gt;0,SUM(T26)-SUM(W26:AE26),J26)</f>
        <v>0</v>
      </c>
      <c r="W26" s="590">
        <f>SUM('Balance sheet'!$F$11)</f>
        <v>0</v>
      </c>
      <c r="X26" s="458" t="s">
        <v>5</v>
      </c>
      <c r="Y26" s="170" t="s">
        <v>5</v>
      </c>
      <c r="Z26" s="170" t="s">
        <v>5</v>
      </c>
      <c r="AA26" s="170" t="s">
        <v>5</v>
      </c>
      <c r="AB26" s="169" t="s">
        <v>5</v>
      </c>
      <c r="AC26" s="620">
        <f t="shared" si="1"/>
        <v>0</v>
      </c>
      <c r="AD26" s="66" t="s">
        <v>5</v>
      </c>
      <c r="AE26" s="67" t="s">
        <v>5</v>
      </c>
      <c r="AG26" s="201" t="s">
        <v>0</v>
      </c>
    </row>
    <row r="27" spans="1:33" x14ac:dyDescent="0.25">
      <c r="B27" s="139"/>
      <c r="C27" s="664">
        <f t="shared" si="0"/>
        <v>0</v>
      </c>
      <c r="D27" s="664">
        <f>MAX(SUM(C26)+SUM(Y27)-SUM(Y26),0)</f>
        <v>0</v>
      </c>
      <c r="E27" s="645">
        <f>MAX(SUM(C26)+SUM(Z27)-SUM(Z26),0)</f>
        <v>0</v>
      </c>
      <c r="F27" s="645">
        <f>MAX(SUM(C26)+SUM(L26:M26)-SUM(L27:M27),0)</f>
        <v>0</v>
      </c>
      <c r="G27" s="645">
        <f>MAX(SUM(C26)+SUM(N26)-SUM(N27),0)</f>
        <v>0</v>
      </c>
      <c r="H27" s="637">
        <f>MAX(SUM(C26)+SUM(AA27:AB27)-SUM(AA26:AB26),0)</f>
        <v>0</v>
      </c>
      <c r="I27" s="32"/>
      <c r="J27" s="620">
        <f>SUM('Balance sheet'!$F$8)</f>
        <v>0</v>
      </c>
      <c r="K27" s="86" t="s">
        <v>96</v>
      </c>
      <c r="L27" s="459" t="s">
        <v>5</v>
      </c>
      <c r="M27" s="169" t="s">
        <v>5</v>
      </c>
      <c r="N27" s="168" t="s">
        <v>5</v>
      </c>
      <c r="O27" s="340" t="s">
        <v>5</v>
      </c>
      <c r="P27" s="170" t="s">
        <v>5</v>
      </c>
      <c r="Q27" s="170" t="s">
        <v>5</v>
      </c>
      <c r="R27" s="170" t="s">
        <v>5</v>
      </c>
      <c r="S27" s="464" t="s">
        <v>5</v>
      </c>
      <c r="T27" s="626">
        <f t="shared" si="2"/>
        <v>0</v>
      </c>
      <c r="U27" s="130"/>
      <c r="V27" s="626">
        <f t="shared" si="3"/>
        <v>0</v>
      </c>
      <c r="W27" s="626">
        <f>SUM('Balance sheet'!$F$11)</f>
        <v>0</v>
      </c>
      <c r="X27" s="466" t="s">
        <v>5</v>
      </c>
      <c r="Y27" s="69" t="s">
        <v>5</v>
      </c>
      <c r="Z27" s="69" t="s">
        <v>5</v>
      </c>
      <c r="AA27" s="69" t="s">
        <v>5</v>
      </c>
      <c r="AB27" s="70" t="s">
        <v>5</v>
      </c>
      <c r="AC27" s="620">
        <f t="shared" si="1"/>
        <v>0</v>
      </c>
      <c r="AD27" s="170" t="s">
        <v>5</v>
      </c>
      <c r="AE27" s="169" t="s">
        <v>5</v>
      </c>
      <c r="AG27" s="201" t="s">
        <v>0</v>
      </c>
    </row>
    <row r="28" spans="1:33" x14ac:dyDescent="0.25">
      <c r="A28" s="548" t="s">
        <v>541</v>
      </c>
      <c r="B28" s="134" t="s">
        <v>372</v>
      </c>
      <c r="C28" s="627">
        <f t="shared" si="0"/>
        <v>0</v>
      </c>
      <c r="D28" s="149"/>
      <c r="E28" s="81"/>
      <c r="F28" s="81"/>
      <c r="G28" s="81"/>
      <c r="H28" s="58"/>
      <c r="I28" s="32"/>
      <c r="J28" s="590">
        <f>SUM('Balance sheet'!$F$8)</f>
        <v>0</v>
      </c>
      <c r="K28" s="63" t="s">
        <v>95</v>
      </c>
      <c r="L28" s="460" t="s">
        <v>5</v>
      </c>
      <c r="M28" s="67" t="s">
        <v>5</v>
      </c>
      <c r="N28" s="65" t="s">
        <v>5</v>
      </c>
      <c r="O28" s="461" t="s">
        <v>5</v>
      </c>
      <c r="P28" s="66" t="s">
        <v>5</v>
      </c>
      <c r="Q28" s="66" t="s">
        <v>5</v>
      </c>
      <c r="R28" s="66" t="s">
        <v>5</v>
      </c>
      <c r="S28" s="463" t="s">
        <v>5</v>
      </c>
      <c r="T28" s="590">
        <f>SUM(L28:S28)</f>
        <v>0</v>
      </c>
      <c r="U28" s="130"/>
      <c r="V28" s="590">
        <f>IF(T28&gt;0,SUM(T28)-SUM(W28:AE28),J28)</f>
        <v>0</v>
      </c>
      <c r="W28" s="639">
        <f>SUM('Balance sheet'!$F$11)</f>
        <v>0</v>
      </c>
      <c r="X28" s="460" t="s">
        <v>5</v>
      </c>
      <c r="Y28" s="66" t="s">
        <v>5</v>
      </c>
      <c r="Z28" s="66" t="s">
        <v>5</v>
      </c>
      <c r="AA28" s="66" t="s">
        <v>5</v>
      </c>
      <c r="AB28" s="67" t="s">
        <v>5</v>
      </c>
      <c r="AC28" s="590">
        <f>SUM(Q28)</f>
        <v>0</v>
      </c>
      <c r="AD28" s="66" t="s">
        <v>5</v>
      </c>
      <c r="AE28" s="67" t="s">
        <v>5</v>
      </c>
      <c r="AG28" s="201" t="s">
        <v>0</v>
      </c>
    </row>
    <row r="29" spans="1:33" x14ac:dyDescent="0.25">
      <c r="B29" s="139"/>
      <c r="C29" s="664">
        <f t="shared" si="0"/>
        <v>0</v>
      </c>
      <c r="D29" s="628">
        <f>MAX(SUM(C28)+SUM(Y29)-SUM(Y28),0)</f>
        <v>0</v>
      </c>
      <c r="E29" s="644">
        <f>MAX(SUM(C28)+SUM(Z29)-SUM(Z28),0)</f>
        <v>0</v>
      </c>
      <c r="F29" s="644">
        <f>MAX(SUM(C28)+SUM(L28:M28)-SUM(L29:M29),0)</f>
        <v>0</v>
      </c>
      <c r="G29" s="644">
        <f>MAX(SUM(C28)+SUM(N28)-SUM(N29),0)</f>
        <v>0</v>
      </c>
      <c r="H29" s="636">
        <f>MAX(SUM(C28)+SUM(AA29:AB29)-SUM(AA28:AB28),0)</f>
        <v>0</v>
      </c>
      <c r="I29" s="32"/>
      <c r="J29" s="626">
        <f>SUM('Balance sheet'!$F$8)</f>
        <v>0</v>
      </c>
      <c r="K29" s="86" t="s">
        <v>96</v>
      </c>
      <c r="L29" s="459" t="s">
        <v>5</v>
      </c>
      <c r="M29" s="70" t="s">
        <v>5</v>
      </c>
      <c r="N29" s="68" t="s">
        <v>5</v>
      </c>
      <c r="O29" s="340" t="s">
        <v>5</v>
      </c>
      <c r="P29" s="170" t="s">
        <v>5</v>
      </c>
      <c r="Q29" s="170" t="s">
        <v>5</v>
      </c>
      <c r="R29" s="170" t="s">
        <v>5</v>
      </c>
      <c r="S29" s="464" t="s">
        <v>5</v>
      </c>
      <c r="T29" s="626">
        <f>SUM(L29:S29)</f>
        <v>0</v>
      </c>
      <c r="U29" s="130"/>
      <c r="V29" s="626">
        <f>IF(T29&gt;0,SUM(T29)-SUM(W29:AE29),J29)</f>
        <v>0</v>
      </c>
      <c r="W29" s="637">
        <f>SUM('Balance sheet'!$F$11)</f>
        <v>0</v>
      </c>
      <c r="X29" s="466" t="s">
        <v>5</v>
      </c>
      <c r="Y29" s="69" t="s">
        <v>5</v>
      </c>
      <c r="Z29" s="69" t="s">
        <v>5</v>
      </c>
      <c r="AA29" s="69" t="s">
        <v>5</v>
      </c>
      <c r="AB29" s="70" t="s">
        <v>5</v>
      </c>
      <c r="AC29" s="626">
        <f>SUM(Q29)</f>
        <v>0</v>
      </c>
      <c r="AD29" s="69" t="s">
        <v>5</v>
      </c>
      <c r="AE29" s="70" t="s">
        <v>5</v>
      </c>
      <c r="AG29" s="201" t="s">
        <v>0</v>
      </c>
    </row>
    <row r="30" spans="1:33" x14ac:dyDescent="0.25">
      <c r="A30" s="548" t="s">
        <v>588</v>
      </c>
      <c r="B30" s="134" t="s">
        <v>221</v>
      </c>
      <c r="C30" s="627">
        <f t="shared" si="0"/>
        <v>0</v>
      </c>
      <c r="D30" s="77"/>
      <c r="E30" s="78"/>
      <c r="F30" s="78"/>
      <c r="G30" s="78"/>
      <c r="H30" s="49"/>
      <c r="I30" s="32"/>
      <c r="J30" s="590">
        <f>SUM('Balance sheet'!$F$8)</f>
        <v>0</v>
      </c>
      <c r="K30" s="63" t="s">
        <v>95</v>
      </c>
      <c r="L30" s="460" t="s">
        <v>5</v>
      </c>
      <c r="M30" s="67" t="s">
        <v>5</v>
      </c>
      <c r="N30" s="65" t="s">
        <v>5</v>
      </c>
      <c r="O30" s="461" t="s">
        <v>5</v>
      </c>
      <c r="P30" s="66" t="s">
        <v>5</v>
      </c>
      <c r="Q30" s="66" t="s">
        <v>5</v>
      </c>
      <c r="R30" s="66" t="s">
        <v>5</v>
      </c>
      <c r="S30" s="463" t="s">
        <v>5</v>
      </c>
      <c r="T30" s="590">
        <f>SUM(L30:S30)</f>
        <v>0</v>
      </c>
      <c r="U30" s="130"/>
      <c r="V30" s="590">
        <f>IF(T30&gt;0,SUM(T30)-SUM(W30:AE30),J30)</f>
        <v>0</v>
      </c>
      <c r="W30" s="639">
        <f>SUM('Balance sheet'!$F$11)</f>
        <v>0</v>
      </c>
      <c r="X30" s="458" t="s">
        <v>5</v>
      </c>
      <c r="Y30" s="170" t="s">
        <v>5</v>
      </c>
      <c r="Z30" s="170" t="s">
        <v>5</v>
      </c>
      <c r="AA30" s="170" t="s">
        <v>5</v>
      </c>
      <c r="AB30" s="170" t="s">
        <v>5</v>
      </c>
      <c r="AC30" s="590">
        <f>SUM(Q30)</f>
        <v>0</v>
      </c>
      <c r="AD30" s="66" t="s">
        <v>5</v>
      </c>
      <c r="AE30" s="67" t="s">
        <v>5</v>
      </c>
      <c r="AG30" s="201" t="s">
        <v>0</v>
      </c>
    </row>
    <row r="31" spans="1:33" x14ac:dyDescent="0.25">
      <c r="B31" s="139"/>
      <c r="C31" s="664">
        <f t="shared" si="0"/>
        <v>0</v>
      </c>
      <c r="D31" s="664">
        <f>MAX(SUM(C30)+SUM(Y31)-SUM(Y30),0)</f>
        <v>0</v>
      </c>
      <c r="E31" s="645">
        <f>MAX(SUM(C30)+SUM(Z31)-SUM(Z30),0)</f>
        <v>0</v>
      </c>
      <c r="F31" s="645">
        <f>MAX(SUM(C30)+SUM(L30:M30)-SUM(L31:M31),0)</f>
        <v>0</v>
      </c>
      <c r="G31" s="645">
        <f>MAX(SUM(C30)+SUM(N30)-SUM(N31),0)</f>
        <v>0</v>
      </c>
      <c r="H31" s="637">
        <f>MAX(SUM(C30)+SUM(AA31:AB31)-SUM(AA30:AB30),0)</f>
        <v>0</v>
      </c>
      <c r="I31" s="32"/>
      <c r="J31" s="620">
        <f>SUM('Balance sheet'!$F$8)</f>
        <v>0</v>
      </c>
      <c r="K31" s="86" t="s">
        <v>96</v>
      </c>
      <c r="L31" s="459" t="s">
        <v>5</v>
      </c>
      <c r="M31" s="70" t="s">
        <v>5</v>
      </c>
      <c r="N31" s="68" t="s">
        <v>5</v>
      </c>
      <c r="O31" s="340" t="s">
        <v>5</v>
      </c>
      <c r="P31" s="170" t="s">
        <v>5</v>
      </c>
      <c r="Q31" s="170" t="s">
        <v>5</v>
      </c>
      <c r="R31" s="170" t="s">
        <v>5</v>
      </c>
      <c r="S31" s="464" t="s">
        <v>5</v>
      </c>
      <c r="T31" s="626">
        <f>SUM(L31:S31)</f>
        <v>0</v>
      </c>
      <c r="U31" s="130"/>
      <c r="V31" s="626">
        <f>IF(T31&gt;0,SUM(T31)-SUM(W31:AE31),J31)</f>
        <v>0</v>
      </c>
      <c r="W31" s="637">
        <f>SUM('Balance sheet'!$F$11)</f>
        <v>0</v>
      </c>
      <c r="X31" s="466" t="s">
        <v>5</v>
      </c>
      <c r="Y31" s="69" t="s">
        <v>5</v>
      </c>
      <c r="Z31" s="69" t="s">
        <v>5</v>
      </c>
      <c r="AA31" s="170" t="s">
        <v>5</v>
      </c>
      <c r="AB31" s="170" t="s">
        <v>5</v>
      </c>
      <c r="AC31" s="620">
        <f>SUM(Q31)</f>
        <v>0</v>
      </c>
      <c r="AD31" s="69" t="s">
        <v>5</v>
      </c>
      <c r="AE31" s="70" t="s">
        <v>5</v>
      </c>
      <c r="AG31" s="201" t="s">
        <v>0</v>
      </c>
    </row>
    <row r="32" spans="1:33" x14ac:dyDescent="0.25">
      <c r="A32" s="548" t="s">
        <v>589</v>
      </c>
      <c r="B32" s="134" t="s">
        <v>220</v>
      </c>
      <c r="C32" s="627">
        <f>IF(C34="Up",C35,IF(C34="Down",C37,C39))</f>
        <v>0</v>
      </c>
      <c r="D32" s="77"/>
      <c r="E32" s="78"/>
      <c r="F32" s="78"/>
      <c r="G32" s="78"/>
      <c r="H32" s="49"/>
      <c r="I32" s="31"/>
      <c r="J32" s="82"/>
      <c r="K32" s="60" t="s">
        <v>95</v>
      </c>
      <c r="L32" s="77"/>
      <c r="M32" s="49"/>
      <c r="N32" s="78"/>
      <c r="O32" s="78"/>
      <c r="P32" s="78"/>
      <c r="Q32" s="78"/>
      <c r="R32" s="78"/>
      <c r="S32" s="49"/>
      <c r="T32" s="82"/>
      <c r="U32" s="130"/>
      <c r="V32" s="82"/>
      <c r="W32" s="82"/>
      <c r="X32" s="77"/>
      <c r="Y32" s="78"/>
      <c r="Z32" s="78"/>
      <c r="AA32" s="78"/>
      <c r="AB32" s="78"/>
      <c r="AC32" s="82"/>
      <c r="AD32" s="78"/>
      <c r="AE32" s="49"/>
      <c r="AG32" s="201" t="s">
        <v>0</v>
      </c>
    </row>
    <row r="33" spans="1:33" x14ac:dyDescent="0.25">
      <c r="B33" s="137"/>
      <c r="C33" s="628">
        <f>IF($C$34="Up",C36,IF($C$34="Down",C38,C40))</f>
        <v>0</v>
      </c>
      <c r="D33" s="628">
        <f t="shared" ref="D33:H33" si="4">IF($C$34="Up",D36,IF($C$34="Down",D38,D40))</f>
        <v>0</v>
      </c>
      <c r="E33" s="644">
        <f t="shared" si="4"/>
        <v>0</v>
      </c>
      <c r="F33" s="644">
        <f t="shared" si="4"/>
        <v>0</v>
      </c>
      <c r="G33" s="644">
        <f t="shared" si="4"/>
        <v>0</v>
      </c>
      <c r="H33" s="636">
        <f t="shared" si="4"/>
        <v>0</v>
      </c>
      <c r="I33" s="31"/>
      <c r="J33" s="156"/>
      <c r="K33" s="52" t="s">
        <v>96</v>
      </c>
      <c r="L33" s="149"/>
      <c r="M33" s="58"/>
      <c r="N33" s="81"/>
      <c r="O33" s="81"/>
      <c r="P33" s="81"/>
      <c r="Q33" s="81"/>
      <c r="R33" s="81"/>
      <c r="S33" s="58"/>
      <c r="T33" s="156"/>
      <c r="U33" s="130"/>
      <c r="V33" s="156"/>
      <c r="W33" s="156"/>
      <c r="X33" s="149"/>
      <c r="Y33" s="81"/>
      <c r="Z33" s="81"/>
      <c r="AA33" s="81"/>
      <c r="AB33" s="81"/>
      <c r="AC33" s="156"/>
      <c r="AD33" s="81"/>
      <c r="AE33" s="58"/>
      <c r="AG33" s="201" t="s">
        <v>0</v>
      </c>
    </row>
    <row r="34" spans="1:33" x14ac:dyDescent="0.25">
      <c r="B34" s="137" t="s">
        <v>104</v>
      </c>
      <c r="C34" s="665" t="str">
        <f>IF('Overview SRA'!G18="Yes",IF(MAX(C35,C37,C39)=SUM(C37),"Down",IF(MAX(C35,C37,C39)=SUM(C35),"Up","Mass")),IF(MAX(C36,C38,C40)=SUM(C38),"Down",IF(MAX(C36,C38,C40)=SUM(C36),"Up","Mass")))</f>
        <v>Down</v>
      </c>
      <c r="D34" s="503"/>
      <c r="E34" s="501"/>
      <c r="F34" s="501"/>
      <c r="G34" s="501"/>
      <c r="H34" s="171"/>
      <c r="I34" s="31"/>
      <c r="J34" s="504"/>
      <c r="K34" s="142"/>
      <c r="L34" s="141"/>
      <c r="M34" s="142"/>
      <c r="N34" s="143"/>
      <c r="O34" s="143"/>
      <c r="P34" s="143"/>
      <c r="Q34" s="143"/>
      <c r="R34" s="143"/>
      <c r="S34" s="143"/>
      <c r="T34" s="141"/>
      <c r="U34" s="156"/>
      <c r="V34" s="142"/>
      <c r="W34" s="143"/>
      <c r="X34" s="141"/>
      <c r="Y34" s="143"/>
      <c r="Z34" s="143"/>
      <c r="AA34" s="143"/>
      <c r="AB34" s="143"/>
      <c r="AC34" s="140"/>
      <c r="AD34" s="143"/>
      <c r="AE34" s="142"/>
      <c r="AG34" s="201" t="s">
        <v>0</v>
      </c>
    </row>
    <row r="35" spans="1:33" x14ac:dyDescent="0.25">
      <c r="A35" s="548" t="s">
        <v>590</v>
      </c>
      <c r="B35" s="147" t="s">
        <v>447</v>
      </c>
      <c r="C35" s="628">
        <f t="shared" ref="C35:C42" si="5">MAX(SUM(J35)-SUM(V35),0)</f>
        <v>0</v>
      </c>
      <c r="D35" s="149"/>
      <c r="E35" s="81"/>
      <c r="F35" s="81"/>
      <c r="G35" s="81"/>
      <c r="H35" s="58"/>
      <c r="I35" s="31"/>
      <c r="J35" s="620">
        <f>SUM('Balance sheet'!$F$8)</f>
        <v>0</v>
      </c>
      <c r="K35" s="52" t="s">
        <v>95</v>
      </c>
      <c r="L35" s="458" t="s">
        <v>5</v>
      </c>
      <c r="M35" s="169" t="s">
        <v>5</v>
      </c>
      <c r="N35" s="168" t="s">
        <v>5</v>
      </c>
      <c r="O35" s="461" t="s">
        <v>5</v>
      </c>
      <c r="P35" s="170" t="s">
        <v>5</v>
      </c>
      <c r="Q35" s="170" t="s">
        <v>5</v>
      </c>
      <c r="R35" s="170" t="s">
        <v>5</v>
      </c>
      <c r="S35" s="463" t="s">
        <v>5</v>
      </c>
      <c r="T35" s="620">
        <f t="shared" ref="T35:T42" si="6">SUM(L35:S35)</f>
        <v>0</v>
      </c>
      <c r="U35" s="130"/>
      <c r="V35" s="620">
        <f>IF(T35&gt;0,SUM(T35)-SUM(W35:AE35),J35)</f>
        <v>0</v>
      </c>
      <c r="W35" s="636">
        <f>SUM('Balance sheet'!$F$11)</f>
        <v>0</v>
      </c>
      <c r="X35" s="458" t="s">
        <v>5</v>
      </c>
      <c r="Y35" s="170" t="s">
        <v>5</v>
      </c>
      <c r="Z35" s="170" t="s">
        <v>5</v>
      </c>
      <c r="AA35" s="170" t="s">
        <v>5</v>
      </c>
      <c r="AB35" s="170" t="s">
        <v>5</v>
      </c>
      <c r="AC35" s="620">
        <f t="shared" ref="AC35:AC40" si="7">SUM(Q35)</f>
        <v>0</v>
      </c>
      <c r="AD35" s="170" t="s">
        <v>5</v>
      </c>
      <c r="AE35" s="169" t="s">
        <v>5</v>
      </c>
      <c r="AG35" s="201" t="s">
        <v>0</v>
      </c>
    </row>
    <row r="36" spans="1:33" x14ac:dyDescent="0.25">
      <c r="B36" s="148"/>
      <c r="C36" s="628">
        <f t="shared" si="5"/>
        <v>0</v>
      </c>
      <c r="D36" s="628">
        <f>MAX(SUM(C35)+SUM(Y36)-SUM(Y35),0)</f>
        <v>0</v>
      </c>
      <c r="E36" s="644">
        <f>MAX(SUM(C35)+SUM(Z36)-SUM(Z35),0)</f>
        <v>0</v>
      </c>
      <c r="F36" s="644">
        <f>MAX(SUM(C35)+SUM(L35:M35)-SUM(L36:M36),0)</f>
        <v>0</v>
      </c>
      <c r="G36" s="644">
        <f>MAX(SUM(C35)+SUM(N35)-SUM(N36),0)</f>
        <v>0</v>
      </c>
      <c r="H36" s="636">
        <f>MAX(SUM(C35)+SUM(AA36:AB36)-SUM(AA35:AB35),0)</f>
        <v>0</v>
      </c>
      <c r="I36" s="31"/>
      <c r="J36" s="620">
        <f>SUM('Balance sheet'!$F$8)</f>
        <v>0</v>
      </c>
      <c r="K36" s="52" t="s">
        <v>96</v>
      </c>
      <c r="L36" s="458" t="s">
        <v>5</v>
      </c>
      <c r="M36" s="169" t="s">
        <v>5</v>
      </c>
      <c r="N36" s="168" t="s">
        <v>5</v>
      </c>
      <c r="O36" s="461" t="s">
        <v>5</v>
      </c>
      <c r="P36" s="170" t="s">
        <v>5</v>
      </c>
      <c r="Q36" s="170" t="s">
        <v>5</v>
      </c>
      <c r="R36" s="170" t="s">
        <v>5</v>
      </c>
      <c r="S36" s="463" t="s">
        <v>5</v>
      </c>
      <c r="T36" s="620">
        <f t="shared" si="6"/>
        <v>0</v>
      </c>
      <c r="U36" s="130"/>
      <c r="V36" s="620">
        <f t="shared" ref="V36:V42" si="8">IF(T36&gt;0,SUM(T36)-SUM(W36:AE36),J36)</f>
        <v>0</v>
      </c>
      <c r="W36" s="636">
        <f>SUM('Balance sheet'!$F$11)</f>
        <v>0</v>
      </c>
      <c r="X36" s="458" t="s">
        <v>5</v>
      </c>
      <c r="Y36" s="170" t="s">
        <v>5</v>
      </c>
      <c r="Z36" s="170" t="s">
        <v>5</v>
      </c>
      <c r="AA36" s="170" t="s">
        <v>5</v>
      </c>
      <c r="AB36" s="170" t="s">
        <v>5</v>
      </c>
      <c r="AC36" s="620">
        <f t="shared" si="7"/>
        <v>0</v>
      </c>
      <c r="AD36" s="170" t="s">
        <v>5</v>
      </c>
      <c r="AE36" s="169" t="s">
        <v>5</v>
      </c>
      <c r="AG36" s="201" t="s">
        <v>0</v>
      </c>
    </row>
    <row r="37" spans="1:33" x14ac:dyDescent="0.25">
      <c r="A37" s="548" t="s">
        <v>591</v>
      </c>
      <c r="B37" s="147" t="s">
        <v>448</v>
      </c>
      <c r="C37" s="628">
        <f t="shared" si="5"/>
        <v>0</v>
      </c>
      <c r="D37" s="149"/>
      <c r="E37" s="81"/>
      <c r="F37" s="81"/>
      <c r="G37" s="81"/>
      <c r="H37" s="58"/>
      <c r="I37" s="31"/>
      <c r="J37" s="620">
        <f>SUM('Balance sheet'!$F$8)</f>
        <v>0</v>
      </c>
      <c r="K37" s="52" t="s">
        <v>95</v>
      </c>
      <c r="L37" s="458" t="s">
        <v>5</v>
      </c>
      <c r="M37" s="169" t="s">
        <v>5</v>
      </c>
      <c r="N37" s="168" t="s">
        <v>5</v>
      </c>
      <c r="O37" s="461" t="s">
        <v>5</v>
      </c>
      <c r="P37" s="170" t="s">
        <v>5</v>
      </c>
      <c r="Q37" s="170" t="s">
        <v>5</v>
      </c>
      <c r="R37" s="170" t="s">
        <v>5</v>
      </c>
      <c r="S37" s="463" t="s">
        <v>5</v>
      </c>
      <c r="T37" s="620">
        <f t="shared" si="6"/>
        <v>0</v>
      </c>
      <c r="U37" s="130"/>
      <c r="V37" s="620">
        <f t="shared" si="8"/>
        <v>0</v>
      </c>
      <c r="W37" s="636">
        <f>SUM('Balance sheet'!$F$11)</f>
        <v>0</v>
      </c>
      <c r="X37" s="458" t="s">
        <v>5</v>
      </c>
      <c r="Y37" s="170" t="s">
        <v>5</v>
      </c>
      <c r="Z37" s="170" t="s">
        <v>5</v>
      </c>
      <c r="AA37" s="170" t="s">
        <v>5</v>
      </c>
      <c r="AB37" s="170" t="s">
        <v>5</v>
      </c>
      <c r="AC37" s="620">
        <f t="shared" si="7"/>
        <v>0</v>
      </c>
      <c r="AD37" s="170" t="s">
        <v>5</v>
      </c>
      <c r="AE37" s="169" t="s">
        <v>5</v>
      </c>
      <c r="AG37" s="201" t="s">
        <v>0</v>
      </c>
    </row>
    <row r="38" spans="1:33" x14ac:dyDescent="0.25">
      <c r="B38" s="147"/>
      <c r="C38" s="628">
        <f t="shared" si="5"/>
        <v>0</v>
      </c>
      <c r="D38" s="628">
        <f>MAX(SUM(C37)+SUM(Y38)-SUM(Y37),0)</f>
        <v>0</v>
      </c>
      <c r="E38" s="644">
        <f>MAX(SUM(C37)+SUM(Z38)-SUM(Z37),0)</f>
        <v>0</v>
      </c>
      <c r="F38" s="644">
        <f>MAX(SUM(C37)+SUM(L37:M37)-SUM(L38:M38),0)</f>
        <v>0</v>
      </c>
      <c r="G38" s="644">
        <f>MAX(SUM(C37)+SUM(N37)-SUM(N38),0)</f>
        <v>0</v>
      </c>
      <c r="H38" s="636">
        <f>MAX(SUM(C37)+SUM(AA38:AB38)-SUM(AA37:AB37),0)</f>
        <v>0</v>
      </c>
      <c r="I38" s="31"/>
      <c r="J38" s="620">
        <f>SUM('Balance sheet'!$F$8)</f>
        <v>0</v>
      </c>
      <c r="K38" s="52" t="s">
        <v>96</v>
      </c>
      <c r="L38" s="458" t="s">
        <v>5</v>
      </c>
      <c r="M38" s="169" t="s">
        <v>5</v>
      </c>
      <c r="N38" s="168" t="s">
        <v>5</v>
      </c>
      <c r="O38" s="461" t="s">
        <v>5</v>
      </c>
      <c r="P38" s="170" t="s">
        <v>5</v>
      </c>
      <c r="Q38" s="170" t="s">
        <v>5</v>
      </c>
      <c r="R38" s="170" t="s">
        <v>5</v>
      </c>
      <c r="S38" s="463" t="s">
        <v>5</v>
      </c>
      <c r="T38" s="620">
        <f t="shared" si="6"/>
        <v>0</v>
      </c>
      <c r="U38" s="130"/>
      <c r="V38" s="620">
        <f>IF(T38&gt;0,SUM(T38)-SUM(W38:AE38),J38)</f>
        <v>0</v>
      </c>
      <c r="W38" s="636">
        <f>SUM('Balance sheet'!$F$11)</f>
        <v>0</v>
      </c>
      <c r="X38" s="458" t="s">
        <v>5</v>
      </c>
      <c r="Y38" s="170" t="s">
        <v>5</v>
      </c>
      <c r="Z38" s="170" t="s">
        <v>5</v>
      </c>
      <c r="AA38" s="170" t="s">
        <v>5</v>
      </c>
      <c r="AB38" s="170" t="s">
        <v>5</v>
      </c>
      <c r="AC38" s="620">
        <f t="shared" si="7"/>
        <v>0</v>
      </c>
      <c r="AD38" s="170" t="s">
        <v>5</v>
      </c>
      <c r="AE38" s="169" t="s">
        <v>5</v>
      </c>
      <c r="AG38" s="201" t="s">
        <v>0</v>
      </c>
    </row>
    <row r="39" spans="1:33" x14ac:dyDescent="0.25">
      <c r="A39" s="548" t="s">
        <v>592</v>
      </c>
      <c r="B39" s="147" t="s">
        <v>449</v>
      </c>
      <c r="C39" s="628">
        <f t="shared" si="5"/>
        <v>0</v>
      </c>
      <c r="D39" s="149"/>
      <c r="E39" s="81"/>
      <c r="F39" s="81"/>
      <c r="G39" s="81"/>
      <c r="H39" s="58"/>
      <c r="I39" s="31"/>
      <c r="J39" s="620">
        <f>SUM('Balance sheet'!$F$8)</f>
        <v>0</v>
      </c>
      <c r="K39" s="52" t="s">
        <v>95</v>
      </c>
      <c r="L39" s="458" t="s">
        <v>5</v>
      </c>
      <c r="M39" s="169" t="s">
        <v>5</v>
      </c>
      <c r="N39" s="168" t="s">
        <v>5</v>
      </c>
      <c r="O39" s="461" t="s">
        <v>5</v>
      </c>
      <c r="P39" s="170" t="s">
        <v>5</v>
      </c>
      <c r="Q39" s="170" t="s">
        <v>5</v>
      </c>
      <c r="R39" s="170" t="s">
        <v>5</v>
      </c>
      <c r="S39" s="463" t="s">
        <v>5</v>
      </c>
      <c r="T39" s="620">
        <f t="shared" si="6"/>
        <v>0</v>
      </c>
      <c r="U39" s="130"/>
      <c r="V39" s="620">
        <f t="shared" si="8"/>
        <v>0</v>
      </c>
      <c r="W39" s="636">
        <f>SUM('Balance sheet'!$F$11)</f>
        <v>0</v>
      </c>
      <c r="X39" s="458" t="s">
        <v>5</v>
      </c>
      <c r="Y39" s="170" t="s">
        <v>5</v>
      </c>
      <c r="Z39" s="170" t="s">
        <v>5</v>
      </c>
      <c r="AA39" s="170" t="s">
        <v>5</v>
      </c>
      <c r="AB39" s="170" t="s">
        <v>5</v>
      </c>
      <c r="AC39" s="620">
        <f t="shared" si="7"/>
        <v>0</v>
      </c>
      <c r="AD39" s="170" t="s">
        <v>5</v>
      </c>
      <c r="AE39" s="169" t="s">
        <v>5</v>
      </c>
      <c r="AG39" s="201" t="s">
        <v>0</v>
      </c>
    </row>
    <row r="40" spans="1:33" x14ac:dyDescent="0.25">
      <c r="B40" s="139"/>
      <c r="C40" s="664">
        <f t="shared" si="5"/>
        <v>0</v>
      </c>
      <c r="D40" s="664">
        <f>MAX(SUM(C39)+SUM(Y40)-SUM(Y39),0)</f>
        <v>0</v>
      </c>
      <c r="E40" s="645">
        <f>MAX(SUM(C39)+SUM(Z40)-SUM(Z39),0)</f>
        <v>0</v>
      </c>
      <c r="F40" s="645">
        <f>MAX(SUM(C39)+SUM(L39:M39)-SUM(L40:M40),0)</f>
        <v>0</v>
      </c>
      <c r="G40" s="645">
        <f>MAX(SUM(C39)+SUM(N39)-SUM(N40),0)</f>
        <v>0</v>
      </c>
      <c r="H40" s="637">
        <f>MAX(SUM(C39)+SUM(AA40:AB40)-SUM(AA39:AB39),0)</f>
        <v>0</v>
      </c>
      <c r="I40" s="31"/>
      <c r="J40" s="626">
        <f>SUM('Balance sheet'!$F$8)</f>
        <v>0</v>
      </c>
      <c r="K40" s="61" t="s">
        <v>96</v>
      </c>
      <c r="L40" s="459" t="s">
        <v>5</v>
      </c>
      <c r="M40" s="70" t="s">
        <v>5</v>
      </c>
      <c r="N40" s="68" t="s">
        <v>5</v>
      </c>
      <c r="O40" s="340" t="s">
        <v>5</v>
      </c>
      <c r="P40" s="69" t="s">
        <v>5</v>
      </c>
      <c r="Q40" s="69" t="s">
        <v>5</v>
      </c>
      <c r="R40" s="69" t="s">
        <v>5</v>
      </c>
      <c r="S40" s="464" t="s">
        <v>5</v>
      </c>
      <c r="T40" s="626">
        <f t="shared" si="6"/>
        <v>0</v>
      </c>
      <c r="U40" s="130"/>
      <c r="V40" s="626">
        <f>IF(T40&gt;0,SUM(T40)-SUM(W40:AE40),J40)</f>
        <v>0</v>
      </c>
      <c r="W40" s="637">
        <f>SUM('Balance sheet'!$F$11)</f>
        <v>0</v>
      </c>
      <c r="X40" s="458" t="s">
        <v>5</v>
      </c>
      <c r="Y40" s="170" t="s">
        <v>5</v>
      </c>
      <c r="Z40" s="170" t="s">
        <v>5</v>
      </c>
      <c r="AA40" s="170" t="s">
        <v>5</v>
      </c>
      <c r="AB40" s="170" t="s">
        <v>5</v>
      </c>
      <c r="AC40" s="626">
        <f t="shared" si="7"/>
        <v>0</v>
      </c>
      <c r="AD40" s="69" t="s">
        <v>5</v>
      </c>
      <c r="AE40" s="70" t="s">
        <v>5</v>
      </c>
      <c r="AG40" s="201" t="s">
        <v>0</v>
      </c>
    </row>
    <row r="41" spans="1:33" x14ac:dyDescent="0.25">
      <c r="A41" s="548" t="s">
        <v>593</v>
      </c>
      <c r="B41" s="134" t="s">
        <v>222</v>
      </c>
      <c r="C41" s="627">
        <f t="shared" si="5"/>
        <v>0</v>
      </c>
      <c r="D41" s="149"/>
      <c r="E41" s="81"/>
      <c r="F41" s="81"/>
      <c r="G41" s="81"/>
      <c r="H41" s="58"/>
      <c r="I41" s="32"/>
      <c r="J41" s="620">
        <f>SUM('Balance sheet'!$F$8)</f>
        <v>0</v>
      </c>
      <c r="K41" s="63" t="s">
        <v>95</v>
      </c>
      <c r="L41" s="460" t="s">
        <v>5</v>
      </c>
      <c r="M41" s="67" t="s">
        <v>5</v>
      </c>
      <c r="N41" s="65" t="s">
        <v>5</v>
      </c>
      <c r="O41" s="462" t="s">
        <v>5</v>
      </c>
      <c r="P41" s="66" t="s">
        <v>5</v>
      </c>
      <c r="Q41" s="66" t="s">
        <v>5</v>
      </c>
      <c r="R41" s="66" t="s">
        <v>5</v>
      </c>
      <c r="S41" s="465" t="s">
        <v>5</v>
      </c>
      <c r="T41" s="590">
        <f t="shared" si="6"/>
        <v>0</v>
      </c>
      <c r="U41" s="130"/>
      <c r="V41" s="590">
        <f t="shared" si="8"/>
        <v>0</v>
      </c>
      <c r="W41" s="639">
        <f>SUM('Balance sheet'!$F$11)</f>
        <v>0</v>
      </c>
      <c r="X41" s="460" t="s">
        <v>5</v>
      </c>
      <c r="Y41" s="66" t="s">
        <v>5</v>
      </c>
      <c r="Z41" s="66" t="s">
        <v>5</v>
      </c>
      <c r="AA41" s="66" t="s">
        <v>5</v>
      </c>
      <c r="AB41" s="67" t="s">
        <v>5</v>
      </c>
      <c r="AC41" s="636">
        <f t="shared" ref="AC41:AC42" si="9">SUM(Q41)</f>
        <v>0</v>
      </c>
      <c r="AD41" s="170" t="s">
        <v>5</v>
      </c>
      <c r="AE41" s="169" t="s">
        <v>5</v>
      </c>
      <c r="AG41" s="201" t="s">
        <v>0</v>
      </c>
    </row>
    <row r="42" spans="1:33" x14ac:dyDescent="0.25">
      <c r="B42" s="139"/>
      <c r="C42" s="664">
        <f t="shared" si="5"/>
        <v>0</v>
      </c>
      <c r="D42" s="664">
        <f>MAX(SUM(C41)+SUM(Y42)-SUM(Y41),0)</f>
        <v>0</v>
      </c>
      <c r="E42" s="645">
        <f>MAX(SUM(C41)+SUM(Z42)-SUM(Z41),0)</f>
        <v>0</v>
      </c>
      <c r="F42" s="645">
        <f>MAX(SUM(C41)+SUM(L41:M41)-SUM(L42:M42),0)</f>
        <v>0</v>
      </c>
      <c r="G42" s="645">
        <f>MAX(SUM(C41)+SUM(N41)-SUM(N42),0)</f>
        <v>0</v>
      </c>
      <c r="H42" s="637">
        <f>MAX(SUM(C41)+SUM(AA42:AB42)-SUM(AA41:AB41),0)</f>
        <v>0</v>
      </c>
      <c r="I42" s="30"/>
      <c r="J42" s="626">
        <f>SUM('Balance sheet'!$F$8)</f>
        <v>0</v>
      </c>
      <c r="K42" s="86" t="s">
        <v>96</v>
      </c>
      <c r="L42" s="459" t="s">
        <v>5</v>
      </c>
      <c r="M42" s="70" t="s">
        <v>5</v>
      </c>
      <c r="N42" s="68" t="s">
        <v>5</v>
      </c>
      <c r="O42" s="340" t="s">
        <v>5</v>
      </c>
      <c r="P42" s="69" t="s">
        <v>5</v>
      </c>
      <c r="Q42" s="69" t="s">
        <v>5</v>
      </c>
      <c r="R42" s="69" t="s">
        <v>5</v>
      </c>
      <c r="S42" s="464" t="s">
        <v>5</v>
      </c>
      <c r="T42" s="626">
        <f t="shared" si="6"/>
        <v>0</v>
      </c>
      <c r="U42" s="34"/>
      <c r="V42" s="626">
        <f t="shared" si="8"/>
        <v>0</v>
      </c>
      <c r="W42" s="637">
        <f>SUM('Balance sheet'!$F$11)</f>
        <v>0</v>
      </c>
      <c r="X42" s="466" t="s">
        <v>5</v>
      </c>
      <c r="Y42" s="69" t="s">
        <v>5</v>
      </c>
      <c r="Z42" s="69" t="s">
        <v>5</v>
      </c>
      <c r="AA42" s="69" t="s">
        <v>5</v>
      </c>
      <c r="AB42" s="70" t="s">
        <v>5</v>
      </c>
      <c r="AC42" s="637">
        <f t="shared" si="9"/>
        <v>0</v>
      </c>
      <c r="AD42" s="69" t="s">
        <v>5</v>
      </c>
      <c r="AE42" s="70" t="s">
        <v>5</v>
      </c>
      <c r="AG42" s="201" t="s">
        <v>0</v>
      </c>
    </row>
    <row r="43" spans="1:33" x14ac:dyDescent="0.25">
      <c r="AG43" s="201" t="s">
        <v>0</v>
      </c>
    </row>
    <row r="44" spans="1:33" x14ac:dyDescent="0.25">
      <c r="AG44" s="201" t="s">
        <v>0</v>
      </c>
    </row>
    <row r="45" spans="1:33" x14ac:dyDescent="0.25">
      <c r="AG45" s="201" t="s">
        <v>0</v>
      </c>
    </row>
    <row r="46" spans="1:33" x14ac:dyDescent="0.25">
      <c r="AG46" s="201" t="s">
        <v>0</v>
      </c>
    </row>
    <row r="47" spans="1:33" x14ac:dyDescent="0.25">
      <c r="B47" s="228"/>
      <c r="C47" s="228"/>
      <c r="D47" s="228"/>
      <c r="E47" s="228"/>
      <c r="F47" s="228"/>
      <c r="G47" s="228"/>
      <c r="H47" s="228"/>
      <c r="I47" s="228"/>
      <c r="J47" s="228"/>
      <c r="K47" s="228"/>
      <c r="AG47" s="201" t="s">
        <v>0</v>
      </c>
    </row>
    <row r="48" spans="1:33" x14ac:dyDescent="0.25">
      <c r="B48" s="766" t="s">
        <v>405</v>
      </c>
      <c r="C48" s="767"/>
      <c r="D48" s="767"/>
      <c r="E48" s="767"/>
      <c r="F48" s="767"/>
      <c r="G48" s="768"/>
      <c r="AG48" s="201" t="s">
        <v>0</v>
      </c>
    </row>
    <row r="49" spans="1:33" x14ac:dyDescent="0.25">
      <c r="B49" s="228"/>
      <c r="C49" s="228"/>
      <c r="D49" s="228"/>
      <c r="E49" s="228"/>
      <c r="F49" s="228"/>
      <c r="G49" s="228"/>
      <c r="AG49" s="201" t="s">
        <v>0</v>
      </c>
    </row>
    <row r="50" spans="1:33" x14ac:dyDescent="0.25">
      <c r="A50" s="548" t="s">
        <v>594</v>
      </c>
      <c r="B50" s="766" t="s">
        <v>57</v>
      </c>
      <c r="C50" s="767" t="s">
        <v>327</v>
      </c>
      <c r="D50" s="767"/>
      <c r="E50" s="767"/>
      <c r="F50" s="767"/>
      <c r="G50" s="768"/>
      <c r="AG50" s="201" t="s">
        <v>0</v>
      </c>
    </row>
    <row r="51" spans="1:33" x14ac:dyDescent="0.25">
      <c r="B51" s="228"/>
      <c r="C51" s="228"/>
      <c r="D51" s="228"/>
      <c r="E51" s="228"/>
      <c r="F51" s="228"/>
      <c r="G51" s="228"/>
      <c r="AG51" s="201" t="s">
        <v>0</v>
      </c>
    </row>
    <row r="52" spans="1:33" x14ac:dyDescent="0.25">
      <c r="B52" s="400" t="s">
        <v>342</v>
      </c>
      <c r="C52" s="228"/>
      <c r="D52" s="228"/>
      <c r="E52" s="228"/>
      <c r="F52" s="228"/>
      <c r="G52" s="228"/>
      <c r="AG52" s="201" t="s">
        <v>0</v>
      </c>
    </row>
    <row r="53" spans="1:33" x14ac:dyDescent="0.25">
      <c r="B53" s="228"/>
      <c r="C53" s="228"/>
      <c r="D53" s="228"/>
      <c r="E53" s="389"/>
      <c r="F53" s="389"/>
      <c r="G53" s="228"/>
      <c r="AG53" s="201" t="s">
        <v>0</v>
      </c>
    </row>
    <row r="54" spans="1:33" x14ac:dyDescent="0.25">
      <c r="B54" s="228"/>
      <c r="C54" s="228"/>
      <c r="D54" s="228"/>
      <c r="E54" s="389"/>
      <c r="F54" s="389"/>
      <c r="G54" s="228"/>
      <c r="AG54" s="201" t="s">
        <v>0</v>
      </c>
    </row>
    <row r="55" spans="1:33" x14ac:dyDescent="0.25">
      <c r="B55" s="399" t="s">
        <v>338</v>
      </c>
      <c r="C55" s="732">
        <f>0.15*PRODUCT(C56,C57,C58)</f>
        <v>0</v>
      </c>
      <c r="D55" s="733" t="str">
        <f>IF(C55&gt;0,IF(OR(SUM(C22)&lt;SUM(C55)-0.5,SUM(C22)&gt;SUM(C55)+0.5),"ALERT: Calculated shock deviates from implemented shock (cell C22) in row 22!",""),"")</f>
        <v/>
      </c>
      <c r="F55" s="389"/>
      <c r="G55" s="228"/>
      <c r="AG55" s="201" t="s">
        <v>0</v>
      </c>
    </row>
    <row r="56" spans="1:33" x14ac:dyDescent="0.25">
      <c r="B56" s="390" t="s">
        <v>445</v>
      </c>
      <c r="C56" s="395"/>
      <c r="D56" s="290" t="s">
        <v>328</v>
      </c>
      <c r="F56" s="389"/>
      <c r="G56" s="228"/>
      <c r="AG56" s="201" t="s">
        <v>0</v>
      </c>
    </row>
    <row r="57" spans="1:33" ht="30" x14ac:dyDescent="0.25">
      <c r="B57" s="390" t="s">
        <v>340</v>
      </c>
      <c r="C57" s="396"/>
      <c r="D57" s="290" t="s">
        <v>330</v>
      </c>
      <c r="F57" s="228"/>
      <c r="G57" s="228"/>
      <c r="AG57" s="201" t="s">
        <v>0</v>
      </c>
    </row>
    <row r="58" spans="1:33" ht="63" x14ac:dyDescent="0.25">
      <c r="B58" s="391" t="s">
        <v>343</v>
      </c>
      <c r="C58" s="397"/>
      <c r="D58" s="387" t="s">
        <v>331</v>
      </c>
      <c r="F58" s="228"/>
      <c r="G58" s="228"/>
      <c r="AG58" s="201" t="s">
        <v>0</v>
      </c>
    </row>
    <row r="59" spans="1:33" x14ac:dyDescent="0.25">
      <c r="B59" s="228"/>
      <c r="C59" s="228"/>
      <c r="D59" s="228"/>
      <c r="E59" s="228"/>
      <c r="F59" s="228"/>
      <c r="G59" s="228"/>
      <c r="AG59" s="201" t="s">
        <v>0</v>
      </c>
    </row>
    <row r="60" spans="1:33" x14ac:dyDescent="0.25">
      <c r="A60" s="548" t="s">
        <v>540</v>
      </c>
      <c r="B60" s="766" t="s">
        <v>58</v>
      </c>
      <c r="C60" s="767" t="s">
        <v>327</v>
      </c>
      <c r="D60" s="767"/>
      <c r="E60" s="767"/>
      <c r="F60" s="767"/>
      <c r="G60" s="768"/>
      <c r="AG60" s="201" t="s">
        <v>0</v>
      </c>
    </row>
    <row r="61" spans="1:33" x14ac:dyDescent="0.25">
      <c r="B61" s="228"/>
      <c r="C61" s="228"/>
      <c r="D61" s="228"/>
      <c r="E61" s="228"/>
      <c r="F61" s="228"/>
      <c r="G61" s="228"/>
      <c r="AG61" s="201" t="s">
        <v>0</v>
      </c>
    </row>
    <row r="62" spans="1:33" x14ac:dyDescent="0.25">
      <c r="B62"/>
      <c r="C62"/>
      <c r="D62" s="228"/>
      <c r="E62" s="228"/>
      <c r="F62" s="228"/>
      <c r="G62" s="228"/>
      <c r="AG62" s="201" t="s">
        <v>0</v>
      </c>
    </row>
    <row r="63" spans="1:33" x14ac:dyDescent="0.25">
      <c r="B63" s="228"/>
      <c r="C63"/>
      <c r="D63" s="389"/>
      <c r="E63" s="389"/>
      <c r="F63" s="228"/>
      <c r="G63" s="228"/>
      <c r="AG63" s="201" t="s">
        <v>0</v>
      </c>
    </row>
    <row r="64" spans="1:33" x14ac:dyDescent="0.25">
      <c r="B64" s="228"/>
      <c r="C64" s="228"/>
      <c r="D64" s="389"/>
      <c r="E64" s="389"/>
      <c r="F64" s="228"/>
      <c r="G64" s="228"/>
      <c r="AG64" s="201" t="s">
        <v>0</v>
      </c>
    </row>
    <row r="65" spans="1:33" x14ac:dyDescent="0.25">
      <c r="B65" s="134" t="s">
        <v>338</v>
      </c>
      <c r="C65" s="621">
        <f>0.2*C66*C67*C68*1.1^((C68-1)/2)</f>
        <v>0</v>
      </c>
      <c r="D65" s="733" t="str">
        <f>IF(C65&gt;0,IF(OR(SUM(C24)&lt;SUM(C65)-0.5,SUM(C24)&gt;SUM(C65)+0.5),"ALERT: Calculated shock deviates from implemented shock (cell C24) in row 24!",""),"")</f>
        <v/>
      </c>
      <c r="E65" s="537"/>
      <c r="F65" s="537"/>
      <c r="G65" s="525"/>
      <c r="AG65" s="201" t="s">
        <v>0</v>
      </c>
    </row>
    <row r="66" spans="1:33" ht="30" x14ac:dyDescent="0.35">
      <c r="B66" s="392" t="s">
        <v>341</v>
      </c>
      <c r="C66" s="59"/>
      <c r="D66" s="402" t="s">
        <v>339</v>
      </c>
      <c r="E66" s="177"/>
      <c r="F66" s="228"/>
      <c r="G66" s="228"/>
      <c r="AG66" s="201" t="s">
        <v>0</v>
      </c>
    </row>
    <row r="67" spans="1:33" ht="30" x14ac:dyDescent="0.25">
      <c r="B67" s="390" t="s">
        <v>340</v>
      </c>
      <c r="C67" s="563"/>
      <c r="D67" s="290" t="s">
        <v>330</v>
      </c>
      <c r="F67" s="228"/>
      <c r="G67" s="228"/>
      <c r="AG67" s="201" t="s">
        <v>0</v>
      </c>
    </row>
    <row r="68" spans="1:33" x14ac:dyDescent="0.25">
      <c r="B68" s="391" t="s">
        <v>344</v>
      </c>
      <c r="C68" s="43"/>
      <c r="D68" s="290" t="s">
        <v>336</v>
      </c>
      <c r="F68" s="228"/>
      <c r="G68" s="228"/>
      <c r="AG68" s="201" t="s">
        <v>0</v>
      </c>
    </row>
    <row r="69" spans="1:33" x14ac:dyDescent="0.25">
      <c r="B69" s="228"/>
      <c r="C69" s="228"/>
      <c r="D69" s="228"/>
      <c r="E69" s="228"/>
      <c r="F69" s="228"/>
      <c r="G69" s="228"/>
      <c r="AG69" s="201" t="s">
        <v>0</v>
      </c>
    </row>
    <row r="70" spans="1:33" x14ac:dyDescent="0.25">
      <c r="A70" s="548" t="s">
        <v>595</v>
      </c>
      <c r="B70" s="766" t="s">
        <v>346</v>
      </c>
      <c r="C70" s="767" t="s">
        <v>327</v>
      </c>
      <c r="D70" s="767"/>
      <c r="E70" s="767"/>
      <c r="F70" s="767"/>
      <c r="G70" s="768"/>
      <c r="AG70" s="201" t="s">
        <v>0</v>
      </c>
    </row>
    <row r="71" spans="1:33" x14ac:dyDescent="0.25">
      <c r="B71" s="228"/>
      <c r="C71" s="228"/>
      <c r="D71" s="228"/>
      <c r="E71" s="228"/>
      <c r="F71" s="228"/>
      <c r="G71" s="228"/>
      <c r="AG71" s="201" t="s">
        <v>0</v>
      </c>
    </row>
    <row r="72" spans="1:33" x14ac:dyDescent="0.25">
      <c r="B72"/>
      <c r="C72" s="228"/>
      <c r="D72" s="228"/>
      <c r="E72" s="228"/>
      <c r="F72" s="228"/>
      <c r="G72" s="228"/>
      <c r="AG72" s="201" t="s">
        <v>0</v>
      </c>
    </row>
    <row r="73" spans="1:33" x14ac:dyDescent="0.25">
      <c r="B73" s="228"/>
      <c r="C73" s="228"/>
      <c r="D73" s="228"/>
      <c r="E73" s="228"/>
      <c r="F73" s="228"/>
      <c r="G73" s="228"/>
      <c r="AG73" s="201" t="s">
        <v>0</v>
      </c>
    </row>
    <row r="74" spans="1:33" x14ac:dyDescent="0.25">
      <c r="B74" s="228"/>
      <c r="C74" s="228"/>
      <c r="D74" s="228"/>
      <c r="E74" s="228"/>
      <c r="F74" s="228"/>
      <c r="G74" s="228"/>
      <c r="AG74" s="201" t="s">
        <v>0</v>
      </c>
    </row>
    <row r="75" spans="1:33" x14ac:dyDescent="0.25">
      <c r="B75" s="228"/>
      <c r="C75" s="228"/>
      <c r="D75" s="228"/>
      <c r="E75" s="389"/>
      <c r="F75" s="389"/>
      <c r="G75" s="228"/>
      <c r="AG75" s="201" t="s">
        <v>0</v>
      </c>
    </row>
    <row r="76" spans="1:33" x14ac:dyDescent="0.25">
      <c r="B76" s="228"/>
      <c r="C76" s="228"/>
      <c r="D76" s="228"/>
      <c r="E76" s="389"/>
      <c r="F76" s="389"/>
      <c r="G76" s="228"/>
      <c r="AG76" s="201" t="s">
        <v>0</v>
      </c>
    </row>
    <row r="77" spans="1:33" x14ac:dyDescent="0.25">
      <c r="B77" s="134" t="s">
        <v>338</v>
      </c>
      <c r="C77" s="732">
        <f>0.35*C78*C79+0.25*C80*C81*(C82-1)*1.1^((C82-3)/2)+0.2*C83*C84*C82*1.1^((C82-1)/2)</f>
        <v>0</v>
      </c>
      <c r="D77" s="733" t="str">
        <f>IF(C77&gt;0,IF(OR(SUM(C26)&lt;SUM(C77)-0.5,SUM(C26)&gt;SUM(C77)+0.5),"ALERT: Calculated shock deviates from implemented shock (cell C26) in row 26!",""),"")</f>
        <v/>
      </c>
      <c r="E77" s="398"/>
      <c r="F77" s="389"/>
      <c r="G77" s="228"/>
      <c r="AG77" s="201" t="s">
        <v>0</v>
      </c>
    </row>
    <row r="78" spans="1:33" x14ac:dyDescent="0.25">
      <c r="B78" s="392" t="s">
        <v>329</v>
      </c>
      <c r="C78" s="393"/>
      <c r="D78" s="401" t="s">
        <v>332</v>
      </c>
      <c r="F78" s="389"/>
      <c r="G78" s="228"/>
      <c r="AG78" s="201" t="s">
        <v>0</v>
      </c>
    </row>
    <row r="79" spans="1:33" ht="30" x14ac:dyDescent="0.25">
      <c r="B79" s="390" t="s">
        <v>348</v>
      </c>
      <c r="C79" s="386"/>
      <c r="D79" s="290" t="s">
        <v>333</v>
      </c>
      <c r="F79" s="228"/>
      <c r="G79" s="228"/>
      <c r="AG79" s="201" t="s">
        <v>0</v>
      </c>
    </row>
    <row r="80" spans="1:33" x14ac:dyDescent="0.25">
      <c r="B80" s="390" t="s">
        <v>347</v>
      </c>
      <c r="C80" s="386"/>
      <c r="D80" s="290" t="s">
        <v>334</v>
      </c>
      <c r="F80" s="228"/>
      <c r="G80" s="228"/>
      <c r="AG80" s="201" t="s">
        <v>0</v>
      </c>
    </row>
    <row r="81" spans="1:33" ht="45" x14ac:dyDescent="0.25">
      <c r="B81" s="390" t="s">
        <v>446</v>
      </c>
      <c r="C81" s="386"/>
      <c r="D81" s="290" t="s">
        <v>335</v>
      </c>
      <c r="F81" s="228"/>
      <c r="G81" s="228"/>
      <c r="AG81" s="201" t="s">
        <v>0</v>
      </c>
    </row>
    <row r="82" spans="1:33" x14ac:dyDescent="0.25">
      <c r="B82" s="390" t="s">
        <v>277</v>
      </c>
      <c r="C82" s="386"/>
      <c r="D82" s="290" t="s">
        <v>336</v>
      </c>
      <c r="F82" s="228"/>
      <c r="G82" s="228"/>
      <c r="AG82" s="201" t="s">
        <v>0</v>
      </c>
    </row>
    <row r="83" spans="1:33" ht="30" x14ac:dyDescent="0.35">
      <c r="B83" s="390" t="s">
        <v>350</v>
      </c>
      <c r="C83" s="386"/>
      <c r="D83" s="290" t="s">
        <v>351</v>
      </c>
      <c r="F83" s="228"/>
      <c r="G83" s="228"/>
      <c r="AG83" s="201" t="s">
        <v>0</v>
      </c>
    </row>
    <row r="84" spans="1:33" ht="30" x14ac:dyDescent="0.25">
      <c r="B84" s="391" t="s">
        <v>349</v>
      </c>
      <c r="C84" s="388"/>
      <c r="D84" s="290" t="s">
        <v>267</v>
      </c>
      <c r="F84" s="228"/>
      <c r="G84" s="228"/>
      <c r="AG84" s="201" t="s">
        <v>0</v>
      </c>
    </row>
    <row r="85" spans="1:33" x14ac:dyDescent="0.25">
      <c r="B85" s="228"/>
      <c r="C85" s="228"/>
      <c r="D85" s="228"/>
      <c r="E85" s="228"/>
      <c r="F85" s="228"/>
      <c r="G85" s="228"/>
      <c r="AG85" s="201" t="s">
        <v>0</v>
      </c>
    </row>
    <row r="86" spans="1:33" x14ac:dyDescent="0.25">
      <c r="A86" s="548" t="s">
        <v>596</v>
      </c>
      <c r="B86" s="766" t="s">
        <v>352</v>
      </c>
      <c r="C86" s="767" t="s">
        <v>327</v>
      </c>
      <c r="D86" s="767"/>
      <c r="E86" s="767"/>
      <c r="F86" s="767"/>
      <c r="G86" s="768"/>
      <c r="AG86" s="201" t="s">
        <v>0</v>
      </c>
    </row>
    <row r="87" spans="1:33" x14ac:dyDescent="0.25">
      <c r="B87" s="228"/>
      <c r="C87" s="228"/>
      <c r="D87" s="228"/>
      <c r="E87" s="228"/>
      <c r="F87" s="228"/>
      <c r="G87" s="228"/>
      <c r="AG87" s="201" t="s">
        <v>0</v>
      </c>
    </row>
    <row r="88" spans="1:33" x14ac:dyDescent="0.25">
      <c r="B88"/>
      <c r="C88" s="228"/>
      <c r="D88" s="228"/>
      <c r="E88" s="228"/>
      <c r="F88" s="228"/>
      <c r="G88" s="228"/>
      <c r="AG88" s="201" t="s">
        <v>0</v>
      </c>
    </row>
    <row r="89" spans="1:33" x14ac:dyDescent="0.25">
      <c r="B89" s="228"/>
      <c r="C89" s="228"/>
      <c r="D89" s="228"/>
      <c r="E89" s="228"/>
      <c r="F89" s="228"/>
      <c r="G89" s="228"/>
      <c r="AG89" s="201" t="s">
        <v>0</v>
      </c>
    </row>
    <row r="90" spans="1:33" x14ac:dyDescent="0.25">
      <c r="B90" s="228"/>
      <c r="C90" s="228"/>
      <c r="D90" s="228"/>
      <c r="E90" s="228"/>
      <c r="F90" s="228"/>
      <c r="G90" s="228"/>
      <c r="AG90" s="201" t="s">
        <v>0</v>
      </c>
    </row>
    <row r="91" spans="1:33" x14ac:dyDescent="0.25">
      <c r="B91" s="228"/>
      <c r="C91" s="228"/>
      <c r="D91" s="228"/>
      <c r="E91" s="389"/>
      <c r="F91" s="389"/>
      <c r="G91" s="228"/>
      <c r="AG91" s="201" t="s">
        <v>0</v>
      </c>
    </row>
    <row r="92" spans="1:33" x14ac:dyDescent="0.25">
      <c r="B92" s="404" t="s">
        <v>338</v>
      </c>
      <c r="C92" s="732">
        <f>IF(SUM(C95)=0,0,0.1*C94*C93+C93*(1/(C95+0.01)*((1+C95+0.01)^C94-1)-1/C95*((1+C95)^C94-1)))</f>
        <v>0</v>
      </c>
      <c r="D92" s="733" t="str">
        <f>IF(C92&gt;0,IF(OR(SUM(C28)&lt;SUM(C92)-0.5,SUM(C28)&gt;SUM(C92)+0.5),"ALERT: Calculated shock deviates from implemented shock (cell C28) in row 28!",""),"")</f>
        <v/>
      </c>
      <c r="F92" s="389"/>
      <c r="G92" s="228"/>
      <c r="AG92" s="201" t="s">
        <v>0</v>
      </c>
    </row>
    <row r="93" spans="1:33" x14ac:dyDescent="0.25">
      <c r="B93" s="405" t="s">
        <v>353</v>
      </c>
      <c r="C93" s="395"/>
      <c r="D93" s="290" t="s">
        <v>169</v>
      </c>
      <c r="F93" s="389"/>
      <c r="G93" s="228"/>
      <c r="AG93" s="201" t="s">
        <v>0</v>
      </c>
    </row>
    <row r="94" spans="1:33" ht="30" x14ac:dyDescent="0.25">
      <c r="B94" s="406" t="s">
        <v>354</v>
      </c>
      <c r="C94" s="396"/>
      <c r="D94" s="290" t="s">
        <v>336</v>
      </c>
      <c r="F94" s="228"/>
      <c r="G94" s="228"/>
      <c r="AG94" s="201" t="s">
        <v>0</v>
      </c>
    </row>
    <row r="95" spans="1:33" ht="30" x14ac:dyDescent="0.25">
      <c r="B95" s="403" t="s">
        <v>355</v>
      </c>
      <c r="C95" s="438"/>
      <c r="D95" s="290" t="s">
        <v>337</v>
      </c>
      <c r="F95" s="228"/>
      <c r="G95" s="228"/>
      <c r="AG95" s="201" t="s">
        <v>0</v>
      </c>
    </row>
    <row r="96" spans="1:33" x14ac:dyDescent="0.25">
      <c r="B96" s="228"/>
      <c r="C96" s="228"/>
      <c r="D96" s="228"/>
      <c r="E96" s="228"/>
      <c r="F96" s="228"/>
      <c r="G96" s="228"/>
      <c r="AG96" s="201" t="s">
        <v>0</v>
      </c>
    </row>
    <row r="97" spans="1:33" x14ac:dyDescent="0.25">
      <c r="A97" s="548" t="s">
        <v>542</v>
      </c>
      <c r="B97" s="766" t="s">
        <v>356</v>
      </c>
      <c r="C97" s="767" t="s">
        <v>327</v>
      </c>
      <c r="D97" s="767"/>
      <c r="E97" s="767"/>
      <c r="F97" s="767"/>
      <c r="G97" s="768"/>
      <c r="AG97" s="201" t="s">
        <v>0</v>
      </c>
    </row>
    <row r="98" spans="1:33" x14ac:dyDescent="0.25">
      <c r="B98" s="228"/>
      <c r="C98" s="228"/>
      <c r="D98" s="228"/>
      <c r="E98" s="228"/>
      <c r="F98" s="228"/>
      <c r="G98" s="228"/>
      <c r="AG98" s="201" t="s">
        <v>0</v>
      </c>
    </row>
    <row r="99" spans="1:33" x14ac:dyDescent="0.25">
      <c r="B99"/>
      <c r="C99" s="228"/>
      <c r="D99" s="228"/>
      <c r="E99" s="228"/>
      <c r="F99" s="228"/>
      <c r="G99" s="228"/>
      <c r="AG99" s="201" t="s">
        <v>0</v>
      </c>
    </row>
    <row r="100" spans="1:33" x14ac:dyDescent="0.25">
      <c r="B100" s="228"/>
      <c r="C100" s="228"/>
      <c r="D100" s="228"/>
      <c r="E100" s="389"/>
      <c r="F100" s="389"/>
      <c r="G100" s="228"/>
      <c r="AG100" s="201" t="s">
        <v>0</v>
      </c>
    </row>
    <row r="101" spans="1:33" x14ac:dyDescent="0.25">
      <c r="B101" s="228"/>
      <c r="C101" s="228"/>
      <c r="D101" s="228"/>
      <c r="E101" s="389"/>
      <c r="F101" s="389"/>
      <c r="G101" s="228"/>
      <c r="AG101" s="201" t="s">
        <v>0</v>
      </c>
    </row>
    <row r="102" spans="1:33" x14ac:dyDescent="0.25">
      <c r="B102" s="407" t="s">
        <v>338</v>
      </c>
      <c r="C102" s="732">
        <f>0.5*C103*C104*C105</f>
        <v>0</v>
      </c>
      <c r="D102" s="733" t="str">
        <f>IF(C102&gt;0,IF(OR(SUM(C35)&lt;SUM(C102)-0.5,SUM(C35)&gt;SUM(C102)+0.5),"ALERT: Calculated shock deviates from implemented shock (cell C35) in row 35!",""),"")</f>
        <v/>
      </c>
      <c r="F102" s="389"/>
      <c r="G102" s="228"/>
      <c r="AG102" s="201" t="s">
        <v>0</v>
      </c>
    </row>
    <row r="103" spans="1:33" ht="30" x14ac:dyDescent="0.35">
      <c r="B103" s="390" t="s">
        <v>360</v>
      </c>
      <c r="C103" s="396"/>
      <c r="D103" s="290" t="s">
        <v>357</v>
      </c>
      <c r="F103" s="389"/>
      <c r="G103" s="228"/>
      <c r="AG103" s="201" t="s">
        <v>0</v>
      </c>
    </row>
    <row r="104" spans="1:33" ht="30" x14ac:dyDescent="0.35">
      <c r="B104" s="390" t="s">
        <v>361</v>
      </c>
      <c r="C104" s="396"/>
      <c r="D104" s="290" t="s">
        <v>358</v>
      </c>
      <c r="F104" s="228"/>
      <c r="G104" s="228"/>
      <c r="AG104" s="201" t="s">
        <v>0</v>
      </c>
    </row>
    <row r="105" spans="1:33" ht="18" x14ac:dyDescent="0.35">
      <c r="B105" s="391" t="s">
        <v>362</v>
      </c>
      <c r="C105" s="397"/>
      <c r="D105" s="290" t="s">
        <v>359</v>
      </c>
      <c r="F105" s="228"/>
      <c r="G105" s="228"/>
      <c r="AG105" s="201" t="s">
        <v>0</v>
      </c>
    </row>
    <row r="106" spans="1:33" x14ac:dyDescent="0.25">
      <c r="B106" s="228"/>
      <c r="C106" s="228"/>
      <c r="D106" s="228"/>
      <c r="E106" s="228"/>
      <c r="F106" s="228"/>
      <c r="G106" s="228"/>
      <c r="AG106" s="201" t="s">
        <v>0</v>
      </c>
    </row>
    <row r="107" spans="1:33" x14ac:dyDescent="0.25">
      <c r="A107" s="548" t="s">
        <v>597</v>
      </c>
      <c r="B107" s="766" t="s">
        <v>363</v>
      </c>
      <c r="C107" s="767" t="s">
        <v>327</v>
      </c>
      <c r="D107" s="767"/>
      <c r="E107" s="767"/>
      <c r="F107" s="767"/>
      <c r="G107" s="768"/>
      <c r="AG107" s="201" t="s">
        <v>0</v>
      </c>
    </row>
    <row r="108" spans="1:33" x14ac:dyDescent="0.25">
      <c r="B108" s="228"/>
      <c r="C108" s="228"/>
      <c r="D108" s="228"/>
      <c r="E108" s="228"/>
      <c r="F108" s="228"/>
      <c r="G108" s="228"/>
      <c r="AG108" s="201" t="s">
        <v>0</v>
      </c>
    </row>
    <row r="109" spans="1:33" x14ac:dyDescent="0.25">
      <c r="B109"/>
      <c r="C109" s="228"/>
      <c r="D109" s="228"/>
      <c r="E109" s="228"/>
      <c r="F109" s="228"/>
      <c r="G109" s="228"/>
      <c r="AG109" s="201" t="s">
        <v>0</v>
      </c>
    </row>
    <row r="110" spans="1:33" x14ac:dyDescent="0.25">
      <c r="B110" s="228"/>
      <c r="C110" s="228"/>
      <c r="D110" s="228"/>
      <c r="E110" s="389"/>
      <c r="F110" s="389"/>
      <c r="G110" s="228"/>
      <c r="AG110" s="201" t="s">
        <v>0</v>
      </c>
    </row>
    <row r="111" spans="1:33" x14ac:dyDescent="0.25">
      <c r="B111" s="228"/>
      <c r="C111" s="228"/>
      <c r="D111" s="228"/>
      <c r="E111" s="389"/>
      <c r="F111" s="389"/>
      <c r="G111" s="228"/>
      <c r="AG111" s="201" t="s">
        <v>0</v>
      </c>
    </row>
    <row r="112" spans="1:33" x14ac:dyDescent="0.25">
      <c r="B112" s="407" t="s">
        <v>338</v>
      </c>
      <c r="C112" s="732">
        <f>0.5*C113*C114*C115</f>
        <v>0</v>
      </c>
      <c r="D112" s="733" t="str">
        <f>IF(C112&gt;0,IF(OR(SUM(C37)&lt;SUM(C112)-0.5,SUM(C37)&gt;SUM(C112)+0.5),"ALERT: Calculated shock deviates from implemented shock (cell C37) in row 37!",""),"")</f>
        <v/>
      </c>
      <c r="F112" s="389"/>
      <c r="G112" s="228"/>
      <c r="AG112" s="201" t="s">
        <v>0</v>
      </c>
    </row>
    <row r="113" spans="1:33" ht="30" x14ac:dyDescent="0.35">
      <c r="B113" s="390" t="s">
        <v>367</v>
      </c>
      <c r="C113" s="393"/>
      <c r="D113" s="290" t="s">
        <v>364</v>
      </c>
      <c r="F113" s="228"/>
      <c r="G113" s="228"/>
      <c r="AG113" s="201" t="s">
        <v>0</v>
      </c>
    </row>
    <row r="114" spans="1:33" ht="30" x14ac:dyDescent="0.35">
      <c r="B114" s="390" t="s">
        <v>368</v>
      </c>
      <c r="C114" s="386"/>
      <c r="D114" s="290" t="s">
        <v>365</v>
      </c>
      <c r="F114" s="228"/>
      <c r="G114" s="228"/>
      <c r="AG114" s="201" t="s">
        <v>0</v>
      </c>
    </row>
    <row r="115" spans="1:33" ht="18" x14ac:dyDescent="0.35">
      <c r="B115" s="391" t="s">
        <v>369</v>
      </c>
      <c r="C115" s="388"/>
      <c r="D115" s="290" t="s">
        <v>366</v>
      </c>
      <c r="F115" s="228"/>
      <c r="G115" s="228"/>
      <c r="AG115" s="201" t="s">
        <v>0</v>
      </c>
    </row>
    <row r="116" spans="1:33" x14ac:dyDescent="0.25">
      <c r="B116" s="228"/>
      <c r="C116" s="228"/>
      <c r="D116" s="228"/>
      <c r="E116" s="228"/>
      <c r="F116" s="228"/>
      <c r="G116" s="228"/>
      <c r="AG116" s="201" t="s">
        <v>0</v>
      </c>
    </row>
    <row r="117" spans="1:33" x14ac:dyDescent="0.25">
      <c r="A117" s="548" t="s">
        <v>598</v>
      </c>
      <c r="B117" s="766" t="s">
        <v>370</v>
      </c>
      <c r="C117" s="767" t="s">
        <v>327</v>
      </c>
      <c r="D117" s="767"/>
      <c r="E117" s="767"/>
      <c r="F117" s="767"/>
      <c r="G117" s="768"/>
      <c r="AG117" s="201" t="s">
        <v>0</v>
      </c>
    </row>
    <row r="118" spans="1:33" x14ac:dyDescent="0.25">
      <c r="B118" s="228"/>
      <c r="C118" s="228"/>
      <c r="D118" s="228"/>
      <c r="E118" s="228"/>
      <c r="F118" s="228"/>
      <c r="G118" s="228"/>
      <c r="AG118" s="201" t="s">
        <v>0</v>
      </c>
    </row>
    <row r="119" spans="1:33" x14ac:dyDescent="0.25">
      <c r="B119"/>
      <c r="C119" s="228"/>
      <c r="D119" s="228"/>
      <c r="E119" s="228"/>
      <c r="F119" s="228"/>
      <c r="G119" s="228"/>
      <c r="AG119" s="201" t="s">
        <v>0</v>
      </c>
    </row>
    <row r="120" spans="1:33" x14ac:dyDescent="0.25">
      <c r="B120" s="228"/>
      <c r="C120" s="228"/>
      <c r="D120" s="228"/>
      <c r="E120" s="389"/>
      <c r="F120" s="389"/>
      <c r="G120" s="228"/>
      <c r="AG120" s="201" t="s">
        <v>0</v>
      </c>
    </row>
    <row r="121" spans="1:33" x14ac:dyDescent="0.25">
      <c r="B121" s="228"/>
      <c r="C121" s="228"/>
      <c r="D121" s="228"/>
      <c r="E121" s="389"/>
      <c r="F121" s="389"/>
      <c r="G121" s="228"/>
      <c r="AG121" s="201" t="s">
        <v>0</v>
      </c>
    </row>
    <row r="122" spans="1:33" x14ac:dyDescent="0.25">
      <c r="B122" s="407" t="s">
        <v>338</v>
      </c>
      <c r="C122" s="732">
        <f>SUM(C123)*0.0015</f>
        <v>0</v>
      </c>
      <c r="D122" s="733" t="str">
        <f>IF(C122&gt;0,IF(OR(SUM(C41)&lt;SUM(C122)-0.5,SUM(C41)&gt;SUM(C122)+0.5),"ALERT: Calculated shock deviates from implemented shock (cell C41) in row 41!",""),"")</f>
        <v/>
      </c>
      <c r="E122" s="398"/>
      <c r="F122" s="389"/>
      <c r="G122" s="228"/>
      <c r="AG122" s="201" t="s">
        <v>0</v>
      </c>
    </row>
    <row r="123" spans="1:33" x14ac:dyDescent="0.25">
      <c r="B123" s="394" t="s">
        <v>371</v>
      </c>
      <c r="C123" s="408"/>
      <c r="E123" s="389"/>
      <c r="F123" s="389"/>
      <c r="G123" s="228"/>
      <c r="AG123" s="201" t="s">
        <v>0</v>
      </c>
    </row>
    <row r="124" spans="1:33" x14ac:dyDescent="0.25">
      <c r="AG124" s="201" t="s">
        <v>0</v>
      </c>
    </row>
    <row r="125" spans="1:33" x14ac:dyDescent="0.25">
      <c r="AG125" s="201" t="s">
        <v>0</v>
      </c>
    </row>
    <row r="126" spans="1:33" x14ac:dyDescent="0.25">
      <c r="AG126" s="201" t="s">
        <v>0</v>
      </c>
    </row>
    <row r="127" spans="1:33" x14ac:dyDescent="0.25">
      <c r="A127" s="201" t="s">
        <v>0</v>
      </c>
      <c r="B127" s="201" t="s">
        <v>0</v>
      </c>
      <c r="C127" s="201" t="s">
        <v>0</v>
      </c>
      <c r="D127" s="201" t="s">
        <v>0</v>
      </c>
      <c r="E127" s="201" t="s">
        <v>0</v>
      </c>
      <c r="F127" s="201" t="s">
        <v>0</v>
      </c>
      <c r="G127" s="201" t="s">
        <v>0</v>
      </c>
      <c r="H127" s="201" t="s">
        <v>0</v>
      </c>
      <c r="I127" s="201" t="s">
        <v>0</v>
      </c>
      <c r="J127" s="201" t="s">
        <v>0</v>
      </c>
      <c r="K127" s="201" t="s">
        <v>0</v>
      </c>
      <c r="L127" s="201" t="s">
        <v>0</v>
      </c>
      <c r="M127" s="201" t="s">
        <v>0</v>
      </c>
      <c r="N127" s="201" t="s">
        <v>0</v>
      </c>
      <c r="O127" s="201" t="s">
        <v>0</v>
      </c>
      <c r="P127" s="201" t="s">
        <v>0</v>
      </c>
      <c r="Q127" s="201" t="s">
        <v>0</v>
      </c>
      <c r="R127" s="201" t="s">
        <v>0</v>
      </c>
      <c r="S127" s="201" t="s">
        <v>0</v>
      </c>
      <c r="T127" s="201" t="s">
        <v>0</v>
      </c>
      <c r="U127" s="201" t="s">
        <v>0</v>
      </c>
      <c r="V127" s="201" t="s">
        <v>0</v>
      </c>
      <c r="W127" s="201" t="s">
        <v>0</v>
      </c>
      <c r="X127" s="201" t="s">
        <v>0</v>
      </c>
      <c r="Y127" s="201" t="s">
        <v>0</v>
      </c>
      <c r="Z127" s="201" t="s">
        <v>0</v>
      </c>
      <c r="AA127" s="201" t="s">
        <v>0</v>
      </c>
      <c r="AB127" s="201" t="s">
        <v>0</v>
      </c>
      <c r="AC127" s="201" t="s">
        <v>0</v>
      </c>
      <c r="AD127" s="201" t="s">
        <v>0</v>
      </c>
      <c r="AE127" s="201" t="s">
        <v>0</v>
      </c>
      <c r="AF127" s="201" t="s">
        <v>0</v>
      </c>
      <c r="AG127" s="201" t="s">
        <v>0</v>
      </c>
    </row>
  </sheetData>
  <mergeCells count="10">
    <mergeCell ref="B117:G117"/>
    <mergeCell ref="B70:G70"/>
    <mergeCell ref="B86:G86"/>
    <mergeCell ref="B97:G97"/>
    <mergeCell ref="B107:G107"/>
    <mergeCell ref="B48:G48"/>
    <mergeCell ref="B50:G50"/>
    <mergeCell ref="B60:G60"/>
    <mergeCell ref="L18:M18"/>
    <mergeCell ref="Y2:Z2"/>
  </mergeCells>
  <dataValidations disablePrompts="1" count="1">
    <dataValidation type="decimal" operator="lessThanOrEqual" allowBlank="1" showInputMessage="1" showErrorMessage="1" errorTitle="Non-negative input" error="Adjustment needs to have negative value" prompt="Please enter a negative value, if relevant" sqref="AA35:AB42 AA22:AB31">
      <formula1>0</formula1>
    </dataValidation>
  </dataValidations>
  <pageMargins left="0.7" right="0.7" top="0.75" bottom="0.75" header="0.3" footer="0.3"/>
  <pageSetup paperSize="9" orientation="portrait" r:id="rId1"/>
  <ignoredErrors>
    <ignoredError sqref="Y2 C22:C27 C32 C34:C42"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2.xml><?xml version="1.0" encoding="utf-8"?>
<LongProperties xmlns="http://schemas.microsoft.com/office/2006/metadata/longPropertie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6.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65</Value>
      <Value>48</Value>
    </TaxCatchAll>
    <Publication_x0020_Date xmlns="2b395ac2-8163-4b1c-b2c0-fcf6a8d6604b" xsi:nil="true"/>
    <b687f5c370784be381b55f490b18f6b4 xmlns="46cf5d05-017c-4f03-b1f6-893edf8c1825" xsi:nil="true"/>
    <StartDate xmlns="http://schemas.microsoft.com/sharepoint/v3">2019-07-10T12:18:39+00:00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B1DFE255-8DAB-4B9A-BC4D-AC623B894576}">
  <ds:schemaRefs>
    <ds:schemaRef ds:uri="http://schemas.microsoft.com/sharepoint/v3/contenttype/forms/url"/>
  </ds:schemaRefs>
</ds:datastoreItem>
</file>

<file path=customXml/itemProps2.xml><?xml version="1.0" encoding="utf-8"?>
<ds:datastoreItem xmlns:ds="http://schemas.openxmlformats.org/officeDocument/2006/customXml" ds:itemID="{81FB3238-E612-4A8B-AA4B-448FD81B3E3D}">
  <ds:schemaRefs>
    <ds:schemaRef ds:uri="http://schemas.microsoft.com/office/2006/metadata/longProperties"/>
  </ds:schemaRefs>
</ds:datastoreItem>
</file>

<file path=customXml/itemProps3.xml><?xml version="1.0" encoding="utf-8"?>
<ds:datastoreItem xmlns:ds="http://schemas.openxmlformats.org/officeDocument/2006/customXml" ds:itemID="{980B98D4-2D28-48AC-8792-4357E09328EB}">
  <ds:schemaRefs/>
</ds:datastoreItem>
</file>

<file path=customXml/itemProps4.xml><?xml version="1.0" encoding="utf-8"?>
<ds:datastoreItem xmlns:ds="http://schemas.openxmlformats.org/officeDocument/2006/customXml" ds:itemID="{99806F44-63C9-432E-A814-A483E2EB27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6F60D05A-6B10-4282-B1D4-05E49653E17B}">
  <ds:schemaRefs>
    <ds:schemaRef ds:uri="http://schemas.microsoft.com/sharepoint/events"/>
  </ds:schemaRefs>
</ds:datastoreItem>
</file>

<file path=customXml/itemProps6.xml><?xml version="1.0" encoding="utf-8"?>
<ds:datastoreItem xmlns:ds="http://schemas.openxmlformats.org/officeDocument/2006/customXml" ds:itemID="{6BB86C5F-0211-4ED7-97CC-6044FB2024F2}">
  <ds:schemaRefs>
    <ds:schemaRef ds:uri="2b395ac2-8163-4b1c-b2c0-fcf6a8d6604b"/>
    <ds:schemaRef ds:uri="http://schemas.microsoft.com/office/2006/metadata/properties"/>
    <ds:schemaRef ds:uri="46cf5d05-017c-4f03-b1f6-893edf8c1825"/>
    <ds:schemaRef ds:uri="http://purl.org/dc/terms/"/>
    <ds:schemaRef ds:uri="http://schemas.microsoft.com/sharepoint/v3"/>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Index</vt:lpstr>
      <vt:lpstr>Readme</vt:lpstr>
      <vt:lpstr>General inputs</vt:lpstr>
      <vt:lpstr>Balance sheet</vt:lpstr>
      <vt:lpstr>Discounted values</vt:lpstr>
      <vt:lpstr>Overview SRA</vt:lpstr>
      <vt:lpstr>Market risk</vt:lpstr>
      <vt:lpstr>Counterparty default risk</vt:lpstr>
      <vt:lpstr>Pension liability risk</vt:lpstr>
      <vt:lpstr>Intangible asset risk</vt:lpstr>
      <vt:lpstr>Operational risk</vt:lpstr>
      <vt:lpstr>Warnings</vt:lpstr>
      <vt:lpstr>Conc.AssetXL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2019-07-11T11:43:47Z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0x010100F025371A0D5F1846930DBA2C9EDAF56600AFC9069F21C440458F2314C115976576</vt:lpwstr>
  </property>
  <property fmtid="{D5CDD505-2E9C-101B-9397-08002B2CF9AE}" pid="3" name="_NewReviewCycle">
    <vt:lpwstr/>
  </property>
  <property fmtid="{D5CDD505-2E9C-101B-9397-08002B2CF9AE}" pid="4" name="Involved Party">
    <vt:lpwstr/>
  </property>
  <property fmtid="{D5CDD505-2E9C-101B-9397-08002B2CF9AE}" pid="5" name="lf7ec453acb346f5b4feea7d032d6f2c">
    <vt:lpwstr>Quantitative impact studies|dbd56a31-1a4a-4078-ae18-dc8cb9fd1869;Surveys|62b18434-7914-471c-8468-f91c3fa559d8</vt:lpwstr>
  </property>
  <property fmtid="{D5CDD505-2E9C-101B-9397-08002B2CF9AE}" pid="6" name="m4764fd034b84a6e893e168ee26c887c">
    <vt:lpwstr/>
  </property>
  <property fmtid="{D5CDD505-2E9C-101B-9397-08002B2CF9AE}" pid="7" name="Document Topic">
    <vt:lpwstr/>
  </property>
  <property fmtid="{D5CDD505-2E9C-101B-9397-08002B2CF9AE}" pid="8" name="Document Type">
    <vt:lpwstr>65;#Quantitative impact studies|dbd56a31-1a4a-4078-ae18-dc8cb9fd1869;#48;#Surveys|62b18434-7914-471c-8468-f91c3fa559d8</vt:lpwstr>
  </property>
  <property fmtid="{D5CDD505-2E9C-101B-9397-08002B2CF9AE}" pid="9" name="obb4efe42ba0440ebcc21f478af52bc7">
    <vt:lpwstr/>
  </property>
  <property fmtid="{D5CDD505-2E9C-101B-9397-08002B2CF9AE}" pid="10" name="ERIS_Keywords">
    <vt:lpwstr>146;#Policy Steering Committee|71c0df9d-20db-4daf-9cc1-6b73c274168d;#76;#Steering Committees|087844cb-5d24-4f08-984e-d3b581074436;#86;#Project Groups|a12b533e-756a-41d1-a364-794b9edcdb9b;#149;#IORP II Directive|1775cf95-585c-4892-bf50-b1ad41b00ed2</vt:lpwstr>
  </property>
  <property fmtid="{D5CDD505-2E9C-101B-9397-08002B2CF9AE}" pid="11" name="ERIS_Department">
    <vt:lpwstr>25;#Policy Department|b4dfa58b-e139-4fed-98cd-912416c70ce5</vt:lpwstr>
  </property>
  <property fmtid="{D5CDD505-2E9C-101B-9397-08002B2CF9AE}" pid="12" name="ERIS_Language">
    <vt:lpwstr>5;#English|2741a941-2920-4ba4-aa70-d8ed6ac1785d</vt:lpwstr>
  </property>
  <property fmtid="{D5CDD505-2E9C-101B-9397-08002B2CF9AE}" pid="13" name="ERIS_DocumentType">
    <vt:lpwstr>78;#Technical Document|1a5bea9a-9455-4b42-9695-f3d22fbcc445</vt:lpwstr>
  </property>
  <property fmtid="{D5CDD505-2E9C-101B-9397-08002B2CF9AE}" pid="14" name="RecordPoint_WorkflowType">
    <vt:lpwstr>ActiveSubmitStub</vt:lpwstr>
  </property>
  <property fmtid="{D5CDD505-2E9C-101B-9397-08002B2CF9AE}" pid="15" name="RecordPoint_ActiveItemWebId">
    <vt:lpwstr>{3c64f1cb-b5ab-4599-b15e-f9f681bf3e87}</vt:lpwstr>
  </property>
  <property fmtid="{D5CDD505-2E9C-101B-9397-08002B2CF9AE}" pid="16" name="RecordPoint_ActiveItemSiteId">
    <vt:lpwstr>{acb94fd5-da3c-4886-a5d9-57078145baae}</vt:lpwstr>
  </property>
  <property fmtid="{D5CDD505-2E9C-101B-9397-08002B2CF9AE}" pid="17" name="RecordPoint_ActiveItemListId">
    <vt:lpwstr>{495d44c9-8171-402a-9c7a-9814fafac437}</vt:lpwstr>
  </property>
  <property fmtid="{D5CDD505-2E9C-101B-9397-08002B2CF9AE}" pid="18" name="RecordPoint_ActiveItemUniqueId">
    <vt:lpwstr>{7f403b6a-203e-42aa-abca-f53684d474fe}</vt:lpwstr>
  </property>
  <property fmtid="{D5CDD505-2E9C-101B-9397-08002B2CF9AE}" pid="19" name="RecordPoint_RecordNumberSubmitted">
    <vt:lpwstr>EIOPA(2019)0040950</vt:lpwstr>
  </property>
  <property fmtid="{D5CDD505-2E9C-101B-9397-08002B2CF9AE}" pid="20" name="RecordPoint_SubmissionCompleted">
    <vt:lpwstr>2019-07-10T12:04:58.0577378+02:00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y fmtid="{D5CDD505-2E9C-101B-9397-08002B2CF9AE}" pid="24" name="ERIS_Board/Committee">
    <vt:lpwstr>147;#Policy Steering Committee|28066e72-15b3-4a49-82e3-17f538d9b68a</vt:lpwstr>
  </property>
</Properties>
</file>